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abreedae-my.sharepoint.com/personal/ysuneja_tabreed_ae/Documents/Investor Relations/Disclosures/Results/2026/Q1 2026/"/>
    </mc:Choice>
  </mc:AlternateContent>
  <xr:revisionPtr revIDLastSave="16569" documentId="8_{F62772CF-C0C7-470E-93E5-373B96982899}" xr6:coauthVersionLast="47" xr6:coauthVersionMax="47" xr10:uidLastSave="{19171004-E116-4480-A61F-3EE4B4DE0FC1}"/>
  <bookViews>
    <workbookView xWindow="-110" yWindow="-110" windowWidth="19420" windowHeight="11500" xr2:uid="{00000000-000D-0000-FFFF-FFFF00000000}"/>
  </bookViews>
  <sheets>
    <sheet name="Cover" sheetId="7" r:id="rId1"/>
    <sheet name="Disclaimer" sheetId="10" r:id="rId2"/>
    <sheet name="Analyst Guide" sheetId="1" r:id="rId3"/>
    <sheet name="Indicative Model" sheetId="4" r:id="rId4"/>
    <sheet name="Operating Data" sheetId="9" r:id="rId5"/>
    <sheet name="P&amp;L" sheetId="11" r:id="rId6"/>
    <sheet name="Segmental Results" sheetId="12" r:id="rId7"/>
    <sheet name="BS" sheetId="13" r:id="rId8"/>
    <sheet name="CF" sheetId="14" r:id="rId9"/>
    <sheet name="GVMetadata" sheetId="6" state="veryHidden" r:id="rId10"/>
  </sheets>
  <externalReferences>
    <externalReference r:id="rId11"/>
    <externalReference r:id="rId12"/>
    <externalReference r:id="rId13"/>
  </externalReferences>
  <definedNames>
    <definedName name="_bdm.FastTrackBookmark.4_25_2023_5_00_36_PM.edm" localSheetId="7" hidden="1" xml:space="preserve">    '[1]Capacity Consumption'!$AO$32:$AO$64</definedName>
    <definedName name="_bdm.FastTrackBookmark.4_25_2023_5_00_36_PM.edm" localSheetId="8" hidden="1" xml:space="preserve">    '[1]Capacity Consumption'!$AO$32:$AO$64</definedName>
    <definedName name="_bdm.FastTrackBookmark.4_25_2023_5_00_36_PM.edm" localSheetId="5" hidden="1" xml:space="preserve">    '[2]Capacity Consumption'!$AO$32:$AO$64</definedName>
    <definedName name="_bdm.FastTrackBookmark.4_25_2023_5_00_36_PM.edm" localSheetId="6" hidden="1" xml:space="preserve">    '[1]Capacity Consumption'!$AO$32:$AO$64</definedName>
    <definedName name="_bdm.FastTrackBookmark.4_25_2023_5_00_36_PM.edm" hidden="1">#REF!</definedName>
    <definedName name="_xlnm._FilterDatabase" localSheetId="8" hidden="1">CF!$B$8:$G$57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 localSheetId="7">'[3]Income St. Notes'!$A$1:$V$43</definedName>
    <definedName name="IS" localSheetId="8">'[3]Income St. Notes'!$A$1:$V$43</definedName>
    <definedName name="IS" localSheetId="5">'[3]Income St. Notes'!$A$1:$V$43</definedName>
    <definedName name="IS" localSheetId="6">'[3]Income St. Notes'!$A$1:$V$43</definedName>
    <definedName name="IS">#REF!</definedName>
    <definedName name="_xlnm.Print_Area" localSheetId="2">'Analyst Guide'!$B$2:$G$224</definedName>
    <definedName name="_xlnm.Print_Area" localSheetId="0">Cover!$B$2:$V$23</definedName>
    <definedName name="_xlnm.Print_Area" localSheetId="3">'Indicative Model'!$B$2:$F$190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8" i="4" l="1"/>
  <c r="F27" i="4"/>
  <c r="F200" i="1"/>
  <c r="L26" i="14"/>
  <c r="P26" i="14"/>
  <c r="F181" i="4" l="1"/>
  <c r="F183" i="4"/>
  <c r="F182" i="4"/>
  <c r="F138" i="4"/>
  <c r="F135" i="4"/>
  <c r="F131" i="4"/>
  <c r="F124" i="4"/>
  <c r="F85" i="4"/>
  <c r="F69" i="4"/>
  <c r="F60" i="4"/>
  <c r="F182" i="1"/>
  <c r="F174" i="1"/>
  <c r="E121" i="1"/>
  <c r="K57" i="14" l="1"/>
  <c r="L57" i="14"/>
  <c r="P49" i="13"/>
  <c r="O57" i="14"/>
  <c r="N57" i="14"/>
  <c r="M57" i="14"/>
  <c r="J57" i="14"/>
  <c r="I57" i="14"/>
  <c r="O45" i="14"/>
  <c r="N45" i="14"/>
  <c r="M45" i="14"/>
  <c r="L45" i="14"/>
  <c r="K45" i="14"/>
  <c r="J45" i="14"/>
  <c r="I45" i="14"/>
  <c r="O26" i="14"/>
  <c r="O31" i="14" s="1"/>
  <c r="O34" i="14" s="1"/>
  <c r="N26" i="14"/>
  <c r="N31" i="14" s="1"/>
  <c r="N34" i="14" s="1"/>
  <c r="M26" i="14"/>
  <c r="M31" i="14" s="1"/>
  <c r="M34" i="14" s="1"/>
  <c r="L31" i="14"/>
  <c r="L34" i="14" s="1"/>
  <c r="K26" i="14"/>
  <c r="K31" i="14" s="1"/>
  <c r="K34" i="14" s="1"/>
  <c r="J26" i="14"/>
  <c r="J31" i="14" s="1"/>
  <c r="J34" i="14" s="1"/>
  <c r="I26" i="14"/>
  <c r="I31" i="14" s="1"/>
  <c r="I34" i="14" s="1"/>
  <c r="O62" i="13"/>
  <c r="N62" i="13"/>
  <c r="M62" i="13"/>
  <c r="L62" i="13"/>
  <c r="K62" i="13"/>
  <c r="J62" i="13"/>
  <c r="I62" i="13"/>
  <c r="O61" i="13"/>
  <c r="N61" i="13"/>
  <c r="M61" i="13"/>
  <c r="L61" i="13"/>
  <c r="K61" i="13"/>
  <c r="J61" i="13"/>
  <c r="I61" i="13"/>
  <c r="O60" i="13"/>
  <c r="O63" i="13" s="1"/>
  <c r="N60" i="13"/>
  <c r="N63" i="13" s="1"/>
  <c r="M60" i="13"/>
  <c r="M63" i="13" s="1"/>
  <c r="L60" i="13"/>
  <c r="L63" i="13" s="1"/>
  <c r="K60" i="13"/>
  <c r="K63" i="13" s="1"/>
  <c r="J60" i="13"/>
  <c r="J63" i="13" s="1"/>
  <c r="I60" i="13"/>
  <c r="I63" i="13" s="1"/>
  <c r="O56" i="13"/>
  <c r="N56" i="13"/>
  <c r="M56" i="13"/>
  <c r="L56" i="13"/>
  <c r="K56" i="13"/>
  <c r="J56" i="13"/>
  <c r="I56" i="13"/>
  <c r="O49" i="13"/>
  <c r="N49" i="13"/>
  <c r="M49" i="13"/>
  <c r="L49" i="13"/>
  <c r="K49" i="13"/>
  <c r="J49" i="13"/>
  <c r="I49" i="13"/>
  <c r="O37" i="13"/>
  <c r="O39" i="13" s="1"/>
  <c r="N37" i="13"/>
  <c r="N39" i="13" s="1"/>
  <c r="M37" i="13"/>
  <c r="M39" i="13" s="1"/>
  <c r="L37" i="13"/>
  <c r="L39" i="13" s="1"/>
  <c r="K37" i="13"/>
  <c r="K39" i="13" s="1"/>
  <c r="J37" i="13"/>
  <c r="J39" i="13" s="1"/>
  <c r="I37" i="13"/>
  <c r="I39" i="13" s="1"/>
  <c r="O27" i="13"/>
  <c r="N27" i="13"/>
  <c r="M27" i="13"/>
  <c r="L27" i="13"/>
  <c r="K27" i="13"/>
  <c r="J27" i="13"/>
  <c r="I27" i="13"/>
  <c r="O19" i="13"/>
  <c r="O28" i="13" s="1"/>
  <c r="N19" i="13"/>
  <c r="M19" i="13"/>
  <c r="L19" i="13"/>
  <c r="K19" i="13"/>
  <c r="J19" i="13"/>
  <c r="I19" i="13"/>
  <c r="O28" i="12"/>
  <c r="O31" i="12" s="1"/>
  <c r="O37" i="12" s="1"/>
  <c r="N28" i="12"/>
  <c r="N31" i="12" s="1"/>
  <c r="N37" i="12" s="1"/>
  <c r="M28" i="12"/>
  <c r="M31" i="12" s="1"/>
  <c r="M37" i="12" s="1"/>
  <c r="L28" i="12"/>
  <c r="L31" i="12" s="1"/>
  <c r="L37" i="12" s="1"/>
  <c r="K28" i="12"/>
  <c r="K31" i="12" s="1"/>
  <c r="K37" i="12" s="1"/>
  <c r="J28" i="12"/>
  <c r="J31" i="12" s="1"/>
  <c r="J37" i="12" s="1"/>
  <c r="I28" i="12"/>
  <c r="I31" i="12" s="1"/>
  <c r="I37" i="12" s="1"/>
  <c r="O12" i="12"/>
  <c r="O15" i="12" s="1"/>
  <c r="O21" i="12" s="1"/>
  <c r="N12" i="12"/>
  <c r="N15" i="12" s="1"/>
  <c r="N21" i="12" s="1"/>
  <c r="M12" i="12"/>
  <c r="M15" i="12" s="1"/>
  <c r="M21" i="12" s="1"/>
  <c r="L12" i="12"/>
  <c r="L15" i="12" s="1"/>
  <c r="L21" i="12" s="1"/>
  <c r="K12" i="12"/>
  <c r="K15" i="12" s="1"/>
  <c r="K21" i="12" s="1"/>
  <c r="J12" i="12"/>
  <c r="J15" i="12" s="1"/>
  <c r="J21" i="12" s="1"/>
  <c r="I12" i="12"/>
  <c r="I15" i="12" s="1"/>
  <c r="I21" i="12" s="1"/>
  <c r="O11" i="11"/>
  <c r="O14" i="11" s="1"/>
  <c r="O20" i="11" s="1"/>
  <c r="O22" i="11" s="1"/>
  <c r="N11" i="11"/>
  <c r="N14" i="11" s="1"/>
  <c r="N20" i="11" s="1"/>
  <c r="N22" i="11" s="1"/>
  <c r="M11" i="11"/>
  <c r="M14" i="11" s="1"/>
  <c r="M20" i="11" s="1"/>
  <c r="M22" i="11" s="1"/>
  <c r="L11" i="11"/>
  <c r="L14" i="11" s="1"/>
  <c r="L20" i="11" s="1"/>
  <c r="L22" i="11" s="1"/>
  <c r="K11" i="11"/>
  <c r="K14" i="11" s="1"/>
  <c r="K20" i="11" s="1"/>
  <c r="K22" i="11" s="1"/>
  <c r="J11" i="11"/>
  <c r="J14" i="11" s="1"/>
  <c r="J20" i="11" s="1"/>
  <c r="J22" i="11" s="1"/>
  <c r="I11" i="11"/>
  <c r="I14" i="11" s="1"/>
  <c r="I20" i="11" s="1"/>
  <c r="I22" i="11" s="1"/>
  <c r="F41" i="1"/>
  <c r="F40" i="1"/>
  <c r="P60" i="13"/>
  <c r="P62" i="13"/>
  <c r="G62" i="13"/>
  <c r="F62" i="13"/>
  <c r="E62" i="13"/>
  <c r="D62" i="13"/>
  <c r="C62" i="13"/>
  <c r="G60" i="13"/>
  <c r="I59" i="14" l="1"/>
  <c r="I62" i="14" s="1"/>
  <c r="N28" i="13"/>
  <c r="J59" i="14"/>
  <c r="J62" i="14" s="1"/>
  <c r="K59" i="14"/>
  <c r="K62" i="14" s="1"/>
  <c r="L59" i="14"/>
  <c r="L62" i="14" s="1"/>
  <c r="M59" i="14"/>
  <c r="M62" i="14" s="1"/>
  <c r="N59" i="14"/>
  <c r="N62" i="14" s="1"/>
  <c r="O59" i="14"/>
  <c r="O62" i="14" s="1"/>
  <c r="I57" i="13"/>
  <c r="L57" i="13"/>
  <c r="M57" i="13"/>
  <c r="N57" i="13"/>
  <c r="K57" i="13"/>
  <c r="J57" i="13"/>
  <c r="K28" i="13"/>
  <c r="O57" i="13"/>
  <c r="O58" i="13" s="1"/>
  <c r="L28" i="13"/>
  <c r="I28" i="13"/>
  <c r="J28" i="13"/>
  <c r="M28" i="13"/>
  <c r="F221" i="1"/>
  <c r="F210" i="1"/>
  <c r="F149" i="1"/>
  <c r="N58" i="13" l="1"/>
  <c r="K58" i="13"/>
  <c r="I58" i="13"/>
  <c r="M58" i="13"/>
  <c r="L58" i="13"/>
  <c r="J58" i="13"/>
  <c r="P57" i="14"/>
  <c r="P45" i="14"/>
  <c r="P31" i="14"/>
  <c r="P34" i="14" s="1"/>
  <c r="C49" i="13"/>
  <c r="D49" i="13"/>
  <c r="E49" i="13"/>
  <c r="F49" i="13"/>
  <c r="G49" i="13"/>
  <c r="J20" i="9" l="1"/>
  <c r="J16" i="9"/>
  <c r="J21" i="9" l="1"/>
  <c r="O20" i="9"/>
  <c r="N20" i="9"/>
  <c r="M20" i="9"/>
  <c r="L20" i="9"/>
  <c r="K20" i="9"/>
  <c r="O16" i="9"/>
  <c r="N16" i="9"/>
  <c r="M16" i="9"/>
  <c r="L16" i="9"/>
  <c r="K16" i="9"/>
  <c r="P11" i="11"/>
  <c r="P14" i="11" s="1"/>
  <c r="P20" i="11" s="1"/>
  <c r="P22" i="11" s="1"/>
  <c r="P28" i="12"/>
  <c r="P31" i="12" s="1"/>
  <c r="P37" i="12" s="1"/>
  <c r="P12" i="12"/>
  <c r="P15" i="12" s="1"/>
  <c r="P21" i="12" s="1"/>
  <c r="P61" i="13"/>
  <c r="P63" i="13"/>
  <c r="P56" i="13"/>
  <c r="P37" i="13"/>
  <c r="P39" i="13" s="1"/>
  <c r="P27" i="13"/>
  <c r="P19" i="13"/>
  <c r="P59" i="14"/>
  <c r="G57" i="14"/>
  <c r="F57" i="14"/>
  <c r="E57" i="14"/>
  <c r="D57" i="14"/>
  <c r="C57" i="14"/>
  <c r="G45" i="14"/>
  <c r="F45" i="14"/>
  <c r="E45" i="14"/>
  <c r="D45" i="14"/>
  <c r="C45" i="14"/>
  <c r="G26" i="14"/>
  <c r="G31" i="14" s="1"/>
  <c r="G34" i="14" s="1"/>
  <c r="F26" i="14"/>
  <c r="F31" i="14" s="1"/>
  <c r="F34" i="14" s="1"/>
  <c r="E26" i="14"/>
  <c r="E31" i="14" s="1"/>
  <c r="E34" i="14" s="1"/>
  <c r="D26" i="14"/>
  <c r="D31" i="14" s="1"/>
  <c r="D34" i="14" s="1"/>
  <c r="C26" i="14"/>
  <c r="C31" i="14" s="1"/>
  <c r="C34" i="14" s="1"/>
  <c r="N21" i="9" l="1"/>
  <c r="P28" i="13"/>
  <c r="P57" i="13"/>
  <c r="M21" i="9"/>
  <c r="O21" i="9"/>
  <c r="K21" i="9"/>
  <c r="L21" i="9"/>
  <c r="P62" i="14"/>
  <c r="F59" i="14"/>
  <c r="F62" i="14" s="1"/>
  <c r="C59" i="14"/>
  <c r="C62" i="14" s="1"/>
  <c r="D59" i="14"/>
  <c r="D62" i="14" s="1"/>
  <c r="E59" i="14"/>
  <c r="E62" i="14" s="1"/>
  <c r="G59" i="14"/>
  <c r="G62" i="14" s="1"/>
  <c r="G11" i="11"/>
  <c r="G14" i="11" s="1"/>
  <c r="G20" i="11" s="1"/>
  <c r="G22" i="11" s="1"/>
  <c r="F11" i="11"/>
  <c r="F14" i="11" s="1"/>
  <c r="F20" i="11" s="1"/>
  <c r="F22" i="11" s="1"/>
  <c r="E11" i="11"/>
  <c r="E14" i="11" s="1"/>
  <c r="E20" i="11" s="1"/>
  <c r="E22" i="11" s="1"/>
  <c r="D11" i="11"/>
  <c r="D14" i="11" s="1"/>
  <c r="D20" i="11" s="1"/>
  <c r="D22" i="11" s="1"/>
  <c r="C11" i="11"/>
  <c r="C14" i="11" s="1"/>
  <c r="C20" i="11" s="1"/>
  <c r="C22" i="11" s="1"/>
  <c r="G28" i="12"/>
  <c r="G31" i="12" s="1"/>
  <c r="G37" i="12" s="1"/>
  <c r="F28" i="12"/>
  <c r="F31" i="12" s="1"/>
  <c r="F37" i="12" s="1"/>
  <c r="E28" i="12"/>
  <c r="E31" i="12" s="1"/>
  <c r="E37" i="12" s="1"/>
  <c r="D28" i="12"/>
  <c r="D31" i="12" s="1"/>
  <c r="D37" i="12" s="1"/>
  <c r="C28" i="12"/>
  <c r="C31" i="12" s="1"/>
  <c r="C37" i="12" s="1"/>
  <c r="P58" i="13" l="1"/>
  <c r="G12" i="12"/>
  <c r="G15" i="12" s="1"/>
  <c r="G21" i="12" s="1"/>
  <c r="F12" i="12"/>
  <c r="F15" i="12" s="1"/>
  <c r="F21" i="12" s="1"/>
  <c r="E12" i="12"/>
  <c r="E15" i="12" s="1"/>
  <c r="E21" i="12" s="1"/>
  <c r="D12" i="12"/>
  <c r="D15" i="12" s="1"/>
  <c r="D21" i="12" s="1"/>
  <c r="C12" i="12"/>
  <c r="C15" i="12" s="1"/>
  <c r="C21" i="12" s="1"/>
  <c r="G61" i="13"/>
  <c r="F61" i="13"/>
  <c r="E61" i="13"/>
  <c r="D61" i="13"/>
  <c r="C61" i="13"/>
  <c r="G63" i="13"/>
  <c r="F60" i="13"/>
  <c r="F63" i="13" s="1"/>
  <c r="E60" i="13"/>
  <c r="E63" i="13" s="1"/>
  <c r="D60" i="13"/>
  <c r="D63" i="13" s="1"/>
  <c r="C60" i="13"/>
  <c r="C63" i="13" s="1"/>
  <c r="G56" i="13"/>
  <c r="F56" i="13"/>
  <c r="E56" i="13"/>
  <c r="D56" i="13"/>
  <c r="C56" i="13"/>
  <c r="G37" i="13"/>
  <c r="G39" i="13" s="1"/>
  <c r="F37" i="13"/>
  <c r="F39" i="13" s="1"/>
  <c r="E37" i="13"/>
  <c r="E39" i="13" s="1"/>
  <c r="D37" i="13"/>
  <c r="D39" i="13" s="1"/>
  <c r="C37" i="13"/>
  <c r="C39" i="13" s="1"/>
  <c r="G27" i="13"/>
  <c r="F27" i="13"/>
  <c r="E27" i="13"/>
  <c r="D27" i="13"/>
  <c r="C27" i="13"/>
  <c r="G19" i="13"/>
  <c r="F19" i="13"/>
  <c r="E19" i="13"/>
  <c r="D19" i="13"/>
  <c r="C19" i="13"/>
  <c r="Q6" i="12"/>
  <c r="Q6" i="11"/>
  <c r="C28" i="13" l="1"/>
  <c r="D28" i="13"/>
  <c r="C57" i="13"/>
  <c r="G28" i="13"/>
  <c r="F28" i="13"/>
  <c r="D57" i="13"/>
  <c r="E57" i="13"/>
  <c r="G57" i="13"/>
  <c r="E28" i="13"/>
  <c r="F57" i="13"/>
  <c r="P20" i="9"/>
  <c r="I20" i="9"/>
  <c r="G20" i="9"/>
  <c r="F20" i="9"/>
  <c r="E20" i="9"/>
  <c r="D20" i="9"/>
  <c r="C20" i="9"/>
  <c r="P16" i="9"/>
  <c r="I16" i="9"/>
  <c r="G16" i="9"/>
  <c r="F16" i="9"/>
  <c r="E16" i="9"/>
  <c r="D16" i="9"/>
  <c r="C16" i="9"/>
  <c r="Q6" i="9"/>
  <c r="D58" i="13" l="1"/>
  <c r="C58" i="13"/>
  <c r="G58" i="13"/>
  <c r="F58" i="13"/>
  <c r="P21" i="9"/>
  <c r="C21" i="9"/>
  <c r="G21" i="9"/>
  <c r="I21" i="9"/>
  <c r="D21" i="9"/>
  <c r="E21" i="9"/>
  <c r="F21" i="9"/>
  <c r="E58" i="13"/>
  <c r="F128" i="4"/>
  <c r="F129" i="4"/>
  <c r="F159" i="4" l="1"/>
  <c r="F68" i="4"/>
  <c r="F112" i="4" l="1"/>
  <c r="F89" i="4"/>
  <c r="F88" i="4"/>
  <c r="F103" i="4"/>
  <c r="F157" i="4" l="1"/>
  <c r="F52" i="4" s="1"/>
  <c r="F79" i="1"/>
  <c r="F78" i="1" s="1"/>
  <c r="F198" i="1"/>
  <c r="F156" i="4" s="1"/>
  <c r="F162" i="4" l="1"/>
  <c r="F39" i="1"/>
  <c r="F55" i="1" l="1"/>
  <c r="F52" i="1"/>
  <c r="F36" i="1" s="1"/>
  <c r="F57" i="1" l="1"/>
  <c r="F37" i="1"/>
  <c r="F150" i="4"/>
  <c r="F147" i="4"/>
  <c r="F185" i="1" l="1"/>
  <c r="F183" i="1"/>
  <c r="F101" i="4" s="1"/>
  <c r="F175" i="1"/>
  <c r="F127" i="4" l="1"/>
  <c r="F176" i="4" l="1"/>
  <c r="F58" i="4" l="1"/>
  <c r="F59" i="4" s="1"/>
  <c r="F75" i="1" l="1"/>
  <c r="F71" i="1"/>
  <c r="F47" i="4" l="1"/>
  <c r="E32" i="1"/>
  <c r="D150" i="1"/>
  <c r="F100" i="1" l="1"/>
  <c r="F32" i="1" l="1"/>
  <c r="F119" i="1" l="1"/>
  <c r="F121" i="1" l="1"/>
  <c r="F90" i="4" l="1"/>
  <c r="F73" i="4" l="1"/>
  <c r="F76" i="4" s="1"/>
  <c r="F79" i="4" l="1"/>
  <c r="F74" i="4"/>
  <c r="F15" i="4"/>
  <c r="F75" i="4" l="1"/>
  <c r="F77" i="4" s="1"/>
  <c r="E150" i="1" l="1"/>
  <c r="F148" i="1"/>
  <c r="F147" i="1"/>
  <c r="F146" i="1"/>
  <c r="F150" i="1" l="1"/>
  <c r="F67" i="1" l="1"/>
  <c r="F66" i="1" s="1"/>
  <c r="F41" i="4" l="1"/>
  <c r="F35" i="1"/>
  <c r="F44" i="4" l="1"/>
  <c r="F48" i="4"/>
  <c r="F50" i="4" s="1"/>
  <c r="F42" i="4"/>
  <c r="F43" i="4" s="1"/>
  <c r="F61" i="4" l="1"/>
  <c r="F51" i="4"/>
  <c r="F53" i="4" s="1"/>
  <c r="F149" i="4"/>
  <c r="F70" i="4" l="1"/>
  <c r="F63" i="4"/>
  <c r="F14" i="4" s="1"/>
  <c r="F13" i="4"/>
  <c r="F16" i="4" l="1"/>
  <c r="F167" i="4" s="1"/>
  <c r="F104" i="4"/>
  <c r="F177" i="1" l="1"/>
  <c r="F133" i="4"/>
  <c r="F141" i="1"/>
  <c r="F84" i="4" s="1"/>
  <c r="F86" i="4" s="1"/>
  <c r="F134" i="1" l="1"/>
  <c r="F156" i="1" s="1"/>
  <c r="F160" i="1" s="1"/>
  <c r="F151" i="4"/>
  <c r="F19" i="4" s="1"/>
  <c r="F18" i="4" s="1"/>
  <c r="F178" i="1"/>
  <c r="F92" i="4" l="1"/>
  <c r="F26" i="4" s="1"/>
  <c r="F152" i="4"/>
  <c r="F153" i="4" s="1"/>
  <c r="F100" i="4" s="1"/>
  <c r="F166" i="1"/>
  <c r="F131" i="1"/>
  <c r="F120" i="4" s="1"/>
  <c r="F23" i="4" l="1"/>
  <c r="F22" i="4" s="1"/>
  <c r="F175" i="4" s="1"/>
  <c r="F177" i="4" s="1"/>
  <c r="F20" i="4"/>
  <c r="G119" i="1"/>
  <c r="F24" i="4" l="1"/>
  <c r="F36" i="4" s="1"/>
  <c r="F28" i="4"/>
  <c r="F186" i="4" l="1"/>
  <c r="F106" i="4" s="1"/>
  <c r="F108" i="4" s="1"/>
  <c r="F168" i="4" l="1"/>
  <c r="F169" i="4" l="1"/>
  <c r="F170" i="4" s="1"/>
  <c r="F111" i="4" s="1"/>
  <c r="F178" i="4"/>
  <c r="F140" i="4" s="1"/>
  <c r="F141" i="4" l="1"/>
  <c r="F115" i="4" l="1"/>
  <c r="F118" i="4" s="1"/>
  <c r="F30" i="4"/>
  <c r="F31" i="4" s="1"/>
  <c r="F32" i="4" l="1"/>
  <c r="F33" i="4" l="1"/>
  <c r="F121" i="4" s="1"/>
  <c r="F125" i="4" l="1"/>
  <c r="F143" i="4" s="1"/>
</calcChain>
</file>

<file path=xl/sharedStrings.xml><?xml version="1.0" encoding="utf-8"?>
<sst xmlns="http://schemas.openxmlformats.org/spreadsheetml/2006/main" count="923" uniqueCount="544">
  <si>
    <t>RT</t>
  </si>
  <si>
    <t>Refrigeration tons</t>
  </si>
  <si>
    <t>RTh</t>
  </si>
  <si>
    <t>Refrigeration ton hours</t>
  </si>
  <si>
    <t>Equity accounted</t>
  </si>
  <si>
    <t>%</t>
  </si>
  <si>
    <t>AED / RT</t>
  </si>
  <si>
    <t>EBITDA</t>
  </si>
  <si>
    <t>Gross profit</t>
  </si>
  <si>
    <t>Profit from operations</t>
  </si>
  <si>
    <t>Finance cost</t>
  </si>
  <si>
    <t>% on fixed</t>
  </si>
  <si>
    <t>Share of results of associates and joint ventures</t>
  </si>
  <si>
    <t>Consolidated</t>
  </si>
  <si>
    <t>AED m</t>
  </si>
  <si>
    <t>Receivable days</t>
  </si>
  <si>
    <t>days</t>
  </si>
  <si>
    <t>Payable days</t>
  </si>
  <si>
    <t>Depreciation &amp; fixed charges on assets</t>
  </si>
  <si>
    <t>Years</t>
  </si>
  <si>
    <t>Debt maturity profile</t>
  </si>
  <si>
    <t>Total repayments</t>
  </si>
  <si>
    <t>Saudi</t>
  </si>
  <si>
    <t>RTh/RT</t>
  </si>
  <si>
    <t>Capacity revenue</t>
  </si>
  <si>
    <t>Consumption revenue</t>
  </si>
  <si>
    <t>Connected capacity</t>
  </si>
  <si>
    <t>Connected capacity (kRT)</t>
  </si>
  <si>
    <t>Owned (%)</t>
  </si>
  <si>
    <t>Consolidated Chilled Water Revenues</t>
  </si>
  <si>
    <t>UAE consolidated</t>
  </si>
  <si>
    <t>GCC consolidated</t>
  </si>
  <si>
    <t>Operating profit margin</t>
  </si>
  <si>
    <t>TOTAL FINANCE COST</t>
  </si>
  <si>
    <t xml:space="preserve">Loans outstanding </t>
  </si>
  <si>
    <t>AEDm</t>
  </si>
  <si>
    <t>Cash conversion cycle</t>
  </si>
  <si>
    <t xml:space="preserve">Oman </t>
  </si>
  <si>
    <t>Bahrain</t>
  </si>
  <si>
    <t>Total capacity</t>
  </si>
  <si>
    <t>Consolidated capacity</t>
  </si>
  <si>
    <t>Consolidated RTs</t>
  </si>
  <si>
    <t>Others</t>
  </si>
  <si>
    <t>Total</t>
  </si>
  <si>
    <t>Total reported debt</t>
  </si>
  <si>
    <t>Cash</t>
  </si>
  <si>
    <t>Share of results</t>
  </si>
  <si>
    <t>Equity accounted capacity</t>
  </si>
  <si>
    <t>Total revenue</t>
  </si>
  <si>
    <t>Direct cost</t>
  </si>
  <si>
    <t>Depreciation</t>
  </si>
  <si>
    <t>Indicative Income Statement Model</t>
  </si>
  <si>
    <t>Adjusted capacity revenue</t>
  </si>
  <si>
    <t>Adjusted consumption revenue</t>
  </si>
  <si>
    <t>Indicative Balance Sheet Model</t>
  </si>
  <si>
    <t>INCOME STATEMENT WORKINGS</t>
  </si>
  <si>
    <t>2. Capacity revenue</t>
  </si>
  <si>
    <t>3. Consumption revenue</t>
  </si>
  <si>
    <t>TABREED BALANCE SHEET</t>
  </si>
  <si>
    <t>Fixed assets</t>
  </si>
  <si>
    <t>Finance lease receivables</t>
  </si>
  <si>
    <t>Investments</t>
  </si>
  <si>
    <t>Total non current assets</t>
  </si>
  <si>
    <t>Receivables</t>
  </si>
  <si>
    <t>Total current assets</t>
  </si>
  <si>
    <t>Gross chilled water revenue</t>
  </si>
  <si>
    <t>All-in interest rate post hedging</t>
  </si>
  <si>
    <t>Cash interest for the year</t>
  </si>
  <si>
    <t>Non-cash finance cost for the year</t>
  </si>
  <si>
    <t>Total finance cost for the year</t>
  </si>
  <si>
    <t>Average balance of borrowings</t>
  </si>
  <si>
    <t>BALANCE SHEET WORKINGS</t>
  </si>
  <si>
    <t>1. PPE</t>
  </si>
  <si>
    <t>Opening</t>
  </si>
  <si>
    <t>Depreciation for the year</t>
  </si>
  <si>
    <t>Additions</t>
  </si>
  <si>
    <t>Closing PPE balance</t>
  </si>
  <si>
    <t>Closing Finance Lease Receivable</t>
  </si>
  <si>
    <t>Revenue for the year</t>
  </si>
  <si>
    <t>Capital work in progress</t>
  </si>
  <si>
    <t>Inventories</t>
  </si>
  <si>
    <t>Refer workings below</t>
  </si>
  <si>
    <t>Total assets</t>
  </si>
  <si>
    <t>Total equity</t>
  </si>
  <si>
    <t>Non-controlling interests</t>
  </si>
  <si>
    <t>Bank debt</t>
  </si>
  <si>
    <t>Employee's liabilities</t>
  </si>
  <si>
    <t>Total non-current liabilities</t>
  </si>
  <si>
    <t>Long term payables and provisions</t>
  </si>
  <si>
    <t>Short term payables and provisions</t>
  </si>
  <si>
    <t>Total current liabilities</t>
  </si>
  <si>
    <t>Total equity and liabilities</t>
  </si>
  <si>
    <t>3. Receivables &amp; Payables</t>
  </si>
  <si>
    <t>Total Payables</t>
  </si>
  <si>
    <t>Share of results for the year</t>
  </si>
  <si>
    <t>Dividends received</t>
  </si>
  <si>
    <t>Closing investments balance</t>
  </si>
  <si>
    <t>Value Chain Businesses</t>
  </si>
  <si>
    <t>GP margin</t>
  </si>
  <si>
    <t>Gross Profit</t>
  </si>
  <si>
    <t>Administrative cost</t>
  </si>
  <si>
    <t>Contribution from Value Chain businesses is expected to stay stable over time at current level</t>
  </si>
  <si>
    <t>Retained earnings, statutory reserve and other reserve</t>
  </si>
  <si>
    <t>2. Finance Lease Receivable</t>
  </si>
  <si>
    <t>Amortization on additions</t>
  </si>
  <si>
    <t>Less: finance lease amortization</t>
  </si>
  <si>
    <t>Capacity revenue increases by contractual CPI pass through every year and new connections, these increases are netted off by finance lease amortization to reach the statutory revenue number</t>
  </si>
  <si>
    <t>Amortization of arrangement fee</t>
  </si>
  <si>
    <t>Capital expenditure and plant expansions</t>
  </si>
  <si>
    <t>Base Revenue</t>
  </si>
  <si>
    <t>FIXED CHARGES</t>
  </si>
  <si>
    <t>VARIABLE CHARGES</t>
  </si>
  <si>
    <t>How Tabreed bills its customers for cooling provided</t>
  </si>
  <si>
    <t>BILLING TO CUSTOMERS</t>
  </si>
  <si>
    <t>Actual usage during the period (RTh)</t>
  </si>
  <si>
    <t>Rate</t>
  </si>
  <si>
    <t>Capacity rate per RT</t>
  </si>
  <si>
    <t>Consumption rate per RTH</t>
  </si>
  <si>
    <t>Billing basis</t>
  </si>
  <si>
    <t>Rate determination</t>
  </si>
  <si>
    <t>Designed to cover all variable costs of operation (pass through)</t>
  </si>
  <si>
    <t>Future changes</t>
  </si>
  <si>
    <t>Related costs</t>
  </si>
  <si>
    <t>Covers all variable costs of production</t>
  </si>
  <si>
    <t>Billing frequency</t>
  </si>
  <si>
    <t>Actual consumption billed monthly</t>
  </si>
  <si>
    <t>Fixed amount billed monthly</t>
  </si>
  <si>
    <t>Every customer signs an agreement to take up to a certain amount of cooling
Cooling requirement is specified in RTs, actual consumption is measured by meters</t>
  </si>
  <si>
    <t>Connected capacity represents RTs currently being billed to customers and is broadly in line with, but not equal to, physically connected capacity</t>
  </si>
  <si>
    <t>Consolidated capacity flows in the top line in the financial statement while equity accounted capacity drives the share of results of equity investments</t>
  </si>
  <si>
    <t>Covers all fixed costs of operations and all overheads and financing costs</t>
  </si>
  <si>
    <t>Weighted average ownership</t>
  </si>
  <si>
    <t>Country</t>
  </si>
  <si>
    <t>KSA</t>
  </si>
  <si>
    <t>UAE</t>
  </si>
  <si>
    <t>Fixed contracted capacity (RTs)</t>
  </si>
  <si>
    <t>Any changes in variable costs (utility tariff increases etc.) passed through to customers in majority of the contracts</t>
  </si>
  <si>
    <t>Published CPI</t>
  </si>
  <si>
    <t>Revenue Mix</t>
  </si>
  <si>
    <t>EBTIDA Share</t>
  </si>
  <si>
    <t>kRT</t>
  </si>
  <si>
    <t>Chilled Water Margins</t>
  </si>
  <si>
    <t>Annual cash interest cost</t>
  </si>
  <si>
    <t xml:space="preserve">Maintenance capex </t>
  </si>
  <si>
    <t>Total debt</t>
  </si>
  <si>
    <t>Other adjustment</t>
  </si>
  <si>
    <t>While capacity revenue is fixed throughout the year, consumption varies in line with multiple factors such as temperature, occupancy rates etc</t>
  </si>
  <si>
    <t>Typical quarterly consumption</t>
  </si>
  <si>
    <t>Q1</t>
  </si>
  <si>
    <t>Q2</t>
  </si>
  <si>
    <t>Q3</t>
  </si>
  <si>
    <t>Q4</t>
  </si>
  <si>
    <t>EBITDA Margin</t>
  </si>
  <si>
    <t>Annual repayments*</t>
  </si>
  <si>
    <t>Term Loan</t>
  </si>
  <si>
    <t>Corporate Debt</t>
  </si>
  <si>
    <t>Other gains and losses</t>
  </si>
  <si>
    <t>Reported chilled water revenue</t>
  </si>
  <si>
    <t>Some of Tabreed's plant serve a single customer on a long term contract. In certain cases, the ownership of these plants transfers to the customer at the end of the term (Build-Own-Operate-Transfer structure). These assets are required to be recorded as finance lease receivable under accounting rules and asset value reduces by amortization instead of depreciation over time. This is an accounting adjustment and Tabreed follows the same billing and collection process for all of its customers regardless of this classification.
For modelling purpose, the only relevant variable is amortization which is recorded as a reduction in revenue and finance lease receivable balance.</t>
  </si>
  <si>
    <t>Finance Lease</t>
  </si>
  <si>
    <t>Finance cost related to lease liabilities</t>
  </si>
  <si>
    <t>Depreciation - ROU</t>
  </si>
  <si>
    <t>Right of Use Assets</t>
  </si>
  <si>
    <t>Lease Liabilities</t>
  </si>
  <si>
    <t>Non Convertible Bonds and Sukuk</t>
  </si>
  <si>
    <t>Islamic financing arrangement</t>
  </si>
  <si>
    <t>Sukuk &amp; Bond</t>
  </si>
  <si>
    <t>Non Convertible Bond and Sukuk</t>
  </si>
  <si>
    <t>Intangible Assets</t>
  </si>
  <si>
    <t>Customer Contracts</t>
  </si>
  <si>
    <t>None is expected</t>
  </si>
  <si>
    <t>Additional investment / Disposal</t>
  </si>
  <si>
    <t>Asset held for sale</t>
  </si>
  <si>
    <t>Consumption revenue varies due to change in Customer Volumes (RTh) and any change in utility tariffs resulting in additional cost pass through to customers</t>
  </si>
  <si>
    <t>Goodwill</t>
  </si>
  <si>
    <t>GVData</t>
  </si>
  <si>
    <t>ew0KICAiZG9jSUQiOiAiM2I2ODgzNjMtOGExZi00NjM0LTk2NTktOTU1Njg2NDEwM2M4Ig0KfQ==</t>
  </si>
  <si>
    <t>GVData0</t>
  </si>
  <si>
    <t>(end)</t>
  </si>
  <si>
    <t>Designed to recover investment in infrastructure over contract period, fixed costs and provide return on investment</t>
  </si>
  <si>
    <t>India</t>
  </si>
  <si>
    <t>Egypt</t>
  </si>
  <si>
    <t>Others consolidated</t>
  </si>
  <si>
    <t>3% to 5%</t>
  </si>
  <si>
    <t>p.a.</t>
  </si>
  <si>
    <t>Tabreed's district cooling assets have 3 separate components - Civils and buildings (life of 50 years), Distribution Network (life of 50 years) and Chillers and Equipment (life of 30 years). 
ROU assets created on implementation of IFRS 16, customer contracts created on account of acquisitions (such as Downtown DCP, Saadiyat, Al Wajeez etc.)</t>
  </si>
  <si>
    <t>Depreciation &amp; Amortization</t>
  </si>
  <si>
    <t>Non current payables + Capex payables</t>
  </si>
  <si>
    <t xml:space="preserve">Share capital </t>
  </si>
  <si>
    <t>Deferred Tax Liability (net)</t>
  </si>
  <si>
    <t>Long-term deposits</t>
  </si>
  <si>
    <t>Revenue mix (based on last 3 years average)</t>
  </si>
  <si>
    <t>Last 3 years' average</t>
  </si>
  <si>
    <t>EBITDA margin (incl. finance lease amortization adjust.)</t>
  </si>
  <si>
    <t>Saudi Tabreed</t>
  </si>
  <si>
    <t>Issued Share Capital - Fully diluted basis</t>
  </si>
  <si>
    <t>Approximate annual loan arrangement fee amortization</t>
  </si>
  <si>
    <t>Finance cost is mostly made up of interest charges (loans, sukuks and bonds), amortization of loan arrangement fees on a straight line basis and finance cost on lease liabilities.</t>
  </si>
  <si>
    <t xml:space="preserve"> </t>
  </si>
  <si>
    <t>Gross Fixed Asset Value</t>
  </si>
  <si>
    <t>Accumulated Depreciation &amp; Impairment Balance</t>
  </si>
  <si>
    <t>Net Fixed Asset Value</t>
  </si>
  <si>
    <t>Accumulated Depreciation ROU &amp; Impairment Balance</t>
  </si>
  <si>
    <t>Net Right of Use Assets</t>
  </si>
  <si>
    <t>Gross Right of Use Assets (ROU)</t>
  </si>
  <si>
    <t>** Annual capacity additions consist of mix of greenfield plants, new connections from existing concession areas and M&amp;A. Capacity addition from existing concession areas entails significantly less Capex given most of the civil and network costs are already incurred upfront. Therefore, blended Capex per RT of connected capacity is expected to be significantly less than AED 10,000.</t>
  </si>
  <si>
    <t>Customer Receivable days*</t>
  </si>
  <si>
    <t>Payable days**</t>
  </si>
  <si>
    <t>* Customer receivable days are calculated on average balance of trade receivables and dues from related parties and excludes advances, prepayments, deposits and fair value gain on derivatives</t>
  </si>
  <si>
    <t>The projections and numbers included in the model below are for indicative purposes only to facilitate financial modelling and do not constitute financial guidance or do not reflect forecast of future performance</t>
  </si>
  <si>
    <t>Using last 3 years' average mix</t>
  </si>
  <si>
    <t>Direct pass through of tariff increases (if applicable)</t>
  </si>
  <si>
    <t>Value Chain revenue</t>
  </si>
  <si>
    <t>Finance income</t>
  </si>
  <si>
    <t>Corporate Tax</t>
  </si>
  <si>
    <t>Net Profit Before Tax</t>
  </si>
  <si>
    <t>GP margin (includes depreciation &amp; amortization)</t>
  </si>
  <si>
    <t>Direct cost (excl. depreciation &amp; amortization)</t>
  </si>
  <si>
    <t>Amortization of Customer Contracts</t>
  </si>
  <si>
    <t>Opening Gross PPE</t>
  </si>
  <si>
    <t>Closing Gross PPE</t>
  </si>
  <si>
    <t>Opening Accumulated Depreciation</t>
  </si>
  <si>
    <t>Closing Accumulated Depreciation</t>
  </si>
  <si>
    <t>m shares</t>
  </si>
  <si>
    <t>Lease Liabilities (IFRS 16)</t>
  </si>
  <si>
    <t>*Amortization is a reduction in revenue and can be calculated from published financial statements by deducting finance income relating to finance lease receivables from lease rentals received</t>
  </si>
  <si>
    <t>Less: Finance lease amortization</t>
  </si>
  <si>
    <t>National Central Cooling Company PJSC</t>
  </si>
  <si>
    <t>National Central Cooling Company</t>
  </si>
  <si>
    <t>Analyst Guide and Data Book</t>
  </si>
  <si>
    <t>CONTENTS:</t>
  </si>
  <si>
    <t>Analyst Guide</t>
  </si>
  <si>
    <t>Connected Load (Fixed)</t>
  </si>
  <si>
    <t>Cooling Consumption (Variable)</t>
  </si>
  <si>
    <t>Reference Units</t>
  </si>
  <si>
    <t>Capacity by Country</t>
  </si>
  <si>
    <t>Cooling consumption in a year</t>
  </si>
  <si>
    <t>RTh bn</t>
  </si>
  <si>
    <t>Average consumption per RT</t>
  </si>
  <si>
    <t>Capacity Growth Guidance</t>
  </si>
  <si>
    <t>High level guidance on capacity additions expected in the medium term</t>
  </si>
  <si>
    <t>Since consumption revenue is a pass through, seasonality impact revenues but does not effect EBITDA or Net Income significantly; Consumption EBITDA margin benefits from efficiency gains</t>
  </si>
  <si>
    <t>Seasonaility of operations</t>
  </si>
  <si>
    <t>Capacity revenue is billed based on RT contracted while consumption is billed for per unit (RTh) consumed. The actual split between capacity and consumption revenue varies based on consumption during the year</t>
  </si>
  <si>
    <t>Unlike depreciation on assets, finance lease amortization is recorded as a reduction in revenue rather than a cost under accounting rules and therefore reported revenue is understated by amount equal to finance lease amortisation. Finance lease amortization is calculated as Lease rentals received less Finance income relating to finance lease receivables</t>
  </si>
  <si>
    <t>Margins are for annual numbers and quarterly % vary due to higher proportion of lower margin consumption revenue in summer months</t>
  </si>
  <si>
    <t>Value chain business consists of manufacturing of pre-insulated pipes, consulting and chemical treatment and supply activities
Contribution from value chain is expected to stay stable and management's stated aim is to operate these companies profitability</t>
  </si>
  <si>
    <t>Share of results (AED m)</t>
  </si>
  <si>
    <t>NA</t>
  </si>
  <si>
    <t>Modelling assumption</t>
  </si>
  <si>
    <t>Cash cost</t>
  </si>
  <si>
    <t>Non-cash cost</t>
  </si>
  <si>
    <t>Implied average asset life</t>
  </si>
  <si>
    <t>Depreciation charges of ROU Assets % of Gross ROU Asset Value</t>
  </si>
  <si>
    <t>Depreciation charges of fixed assets % of Gross Fixed Asset Value</t>
  </si>
  <si>
    <t>Opening Balance of finance lease receivables</t>
  </si>
  <si>
    <t>Add: Finance lease income</t>
  </si>
  <si>
    <t>Less: Lease rentals receieved</t>
  </si>
  <si>
    <t>Add: Variable lease payment CPI Indexation</t>
  </si>
  <si>
    <t>Average annual revenue</t>
  </si>
  <si>
    <t>Add: New additions</t>
  </si>
  <si>
    <t>Finance lease receivables closing balance</t>
  </si>
  <si>
    <t>Finance lease amortization*</t>
  </si>
  <si>
    <t>Indicative Model</t>
  </si>
  <si>
    <t>INCOME STATEMENT</t>
  </si>
  <si>
    <t>Unit</t>
  </si>
  <si>
    <t>T+1 Consolidated capacity</t>
  </si>
  <si>
    <t>Year T-0 is base year</t>
  </si>
  <si>
    <t>Inputs / Assumptions</t>
  </si>
  <si>
    <t>Year T-0 UAE CPI Indexation applied on Year T+1 Revenue</t>
  </si>
  <si>
    <t>Add: Finance income</t>
  </si>
  <si>
    <t>Assumed to be same as T-0</t>
  </si>
  <si>
    <t>Less: Lease rentals received</t>
  </si>
  <si>
    <t>Assumed no addition, depreciation at previous year's rate</t>
  </si>
  <si>
    <t>Assumed at T-0 level</t>
  </si>
  <si>
    <t>Assumed Nil</t>
  </si>
  <si>
    <t>Operating Data</t>
  </si>
  <si>
    <t>Consolidated Income Statement</t>
  </si>
  <si>
    <t>Consolidated Segmental Results</t>
  </si>
  <si>
    <t>Consolidated Balance Sheet</t>
  </si>
  <si>
    <t>Consolidated Cash Flows Statement</t>
  </si>
  <si>
    <t>CONTACTS:</t>
  </si>
  <si>
    <t>Tabreed Investor Relations</t>
  </si>
  <si>
    <t>Email: ir@tabreed.ae</t>
  </si>
  <si>
    <t xml:space="preserve">For more information, please visit </t>
  </si>
  <si>
    <t>www.tabreed.ae/investor-relations</t>
  </si>
  <si>
    <t>Salik Malik</t>
  </si>
  <si>
    <t>Vice President, Finance</t>
  </si>
  <si>
    <t xml:space="preserve">Tel: +971 2 202 0397 </t>
  </si>
  <si>
    <t>Email: smalik@tabreed.ae</t>
  </si>
  <si>
    <t>Yugesh Suneja</t>
  </si>
  <si>
    <t>Head of Investor Relations</t>
  </si>
  <si>
    <t>Tel: +971 2 202 0479</t>
  </si>
  <si>
    <t>Business Model and Operational Summary</t>
  </si>
  <si>
    <t xml:space="preserve">Refer Guide, CPI Indexation applied on ~60% of consolidated capacity </t>
  </si>
  <si>
    <t>Capacity Revenue per RT adjusted for inflation</t>
  </si>
  <si>
    <t>Base Capacity Revenue per RT</t>
  </si>
  <si>
    <t>Year T+1</t>
  </si>
  <si>
    <t>Capacity charges per RT x Year T+1 Consolidated capacity</t>
  </si>
  <si>
    <t>Some form of indexation mechanism (CPI Index or Fixed Index) present to increase charges periodically (Typically, published CPI can be applied on ~60% of Consolidated Capacity)</t>
  </si>
  <si>
    <t>Base Gross Revenue</t>
  </si>
  <si>
    <t>Gross Capacity Revenue T+1</t>
  </si>
  <si>
    <t>Consumption per RT x Year T+1 Consolidated capacity</t>
  </si>
  <si>
    <t xml:space="preserve">RTh bn </t>
  </si>
  <si>
    <t>Increase in consumption revenue to pass through cost increases</t>
  </si>
  <si>
    <t>Base Consumption Revenue per RTh</t>
  </si>
  <si>
    <t>Base Revenue / Consumption Volumes</t>
  </si>
  <si>
    <t>AED / RTh</t>
  </si>
  <si>
    <t>Cooling Consumption per RT in Year T+1</t>
  </si>
  <si>
    <t>Cooling Consumption Year T+1</t>
  </si>
  <si>
    <t>General &amp; Administrative expenses (excl. depreciation &amp; amortization)</t>
  </si>
  <si>
    <t>Refer workings below + guide</t>
  </si>
  <si>
    <t>4. Direct cost</t>
  </si>
  <si>
    <t>T-0 Operational Data</t>
  </si>
  <si>
    <t>Chilled Water</t>
  </si>
  <si>
    <t>1. Connected Capacity</t>
  </si>
  <si>
    <t>Direct cost (incl. depreciation &amp; amortization) Year T+1</t>
  </si>
  <si>
    <t>Increase due to consumption growth</t>
  </si>
  <si>
    <t>Revenue</t>
  </si>
  <si>
    <t>Value Chain</t>
  </si>
  <si>
    <t>Operating profit + Depreciation and amortization + Finance lease amortization</t>
  </si>
  <si>
    <t>Assumed to increase by CPI Indexation (CPI applied on ~60% of consolidated capacity)</t>
  </si>
  <si>
    <t>Increased by net profit for the year and reduced by dividends paid</t>
  </si>
  <si>
    <t>Increased by share of profits and reduced by dividends paid</t>
  </si>
  <si>
    <t>Profit for the year</t>
  </si>
  <si>
    <t>Attributable to equity holders of the parent</t>
  </si>
  <si>
    <t>Non-controlling interest</t>
  </si>
  <si>
    <t>As per dividend declared for the year</t>
  </si>
  <si>
    <t>9% of Profit Before Tax (adjusted for deffered tax liability, see workings below)</t>
  </si>
  <si>
    <t>Assumed at same rate as T-0 (to be adjusted in line with market interest rates)</t>
  </si>
  <si>
    <t>Balancing Figure</t>
  </si>
  <si>
    <t>Days</t>
  </si>
  <si>
    <t>Advances, deposits, prepayments &amp; derivatives (mostly fixed year over year)</t>
  </si>
  <si>
    <t>Total receivables</t>
  </si>
  <si>
    <t>Trade Receivable balance at year end</t>
  </si>
  <si>
    <t>Direct cost and General &amp; Admin cost for the year (excl. depreciation)</t>
  </si>
  <si>
    <t>Relates to hedging done by JVs and Associates, assumed nil</t>
  </si>
  <si>
    <t>4. Investments in associates and JVs</t>
  </si>
  <si>
    <t>5. Dividends paid to ordinary shareholders</t>
  </si>
  <si>
    <t>6. Dividends paid to non-controlling interest</t>
  </si>
  <si>
    <t>Working Capital</t>
  </si>
  <si>
    <t>Accounts and Other Opex Payables balance at year end</t>
  </si>
  <si>
    <t>T-0 Total capacity</t>
  </si>
  <si>
    <t>Refer Analyst Guide</t>
  </si>
  <si>
    <t>No change in depreciation rate (Refer Analyst Guide)</t>
  </si>
  <si>
    <t>Q2 2024</t>
  </si>
  <si>
    <t>Annual</t>
  </si>
  <si>
    <t>United Arab Emirates</t>
  </si>
  <si>
    <t>Oman</t>
  </si>
  <si>
    <t>Total Consolidated</t>
  </si>
  <si>
    <t>Equity Accounted</t>
  </si>
  <si>
    <t>Saudi Arabia</t>
  </si>
  <si>
    <t>Total Connected Capacity</t>
  </si>
  <si>
    <t>FY 2021</t>
  </si>
  <si>
    <t>FY 2022</t>
  </si>
  <si>
    <t>FY 2023</t>
  </si>
  <si>
    <t>Quarterly</t>
  </si>
  <si>
    <t>Email: ysuneja@tabreed.ae</t>
  </si>
  <si>
    <t>Disclaimer</t>
  </si>
  <si>
    <t>AED million</t>
  </si>
  <si>
    <t>Operating Costs (incl. depreciation &amp; amortiation)</t>
  </si>
  <si>
    <t>Impairment provision for trade receivables</t>
  </si>
  <si>
    <t>Other administrative expenses (incl. depreciation &amp; amortization)</t>
  </si>
  <si>
    <t>Operating profit</t>
  </si>
  <si>
    <t>Share of results of Associates and JVs</t>
  </si>
  <si>
    <t>Profit from discontinued operations</t>
  </si>
  <si>
    <t>Profit before tax</t>
  </si>
  <si>
    <t>Income Taxes</t>
  </si>
  <si>
    <t>Profit for the year attributable to:</t>
  </si>
  <si>
    <t>Equity holders of the parent</t>
  </si>
  <si>
    <t>Basic earnings per share to the equity holders of the parent*</t>
  </si>
  <si>
    <t>Alternative Performance Measures</t>
  </si>
  <si>
    <t>* As reported, data for historical periods not adjusted for bonus shares issued in the subsequent periods</t>
  </si>
  <si>
    <t>Chilled Water Business</t>
  </si>
  <si>
    <t>c</t>
  </si>
  <si>
    <t>ASSETS</t>
  </si>
  <si>
    <t>Non-current assets</t>
  </si>
  <si>
    <t>Property, plant and equipment</t>
  </si>
  <si>
    <t>Right-of-use assets</t>
  </si>
  <si>
    <t>Intangible assets</t>
  </si>
  <si>
    <t>Investments in associates &amp; joint ventures</t>
  </si>
  <si>
    <t>Deferred Tax Asset</t>
  </si>
  <si>
    <t>Long Term Deposits</t>
  </si>
  <si>
    <t>Current assets</t>
  </si>
  <si>
    <t>Accounts receivable and prepayments</t>
  </si>
  <si>
    <t>Cash and short term deposits</t>
  </si>
  <si>
    <t>Held for sale</t>
  </si>
  <si>
    <t>TOTAL ASSETS</t>
  </si>
  <si>
    <t>EQUITY AND LIABILITIES</t>
  </si>
  <si>
    <t>Equity</t>
  </si>
  <si>
    <t>Share capital</t>
  </si>
  <si>
    <t>Treasury shares</t>
  </si>
  <si>
    <t>Retained earnings</t>
  </si>
  <si>
    <t>Mandatory convertible bond – equity component</t>
  </si>
  <si>
    <t>Equity attributable to equity holders of the parent</t>
  </si>
  <si>
    <t>Total Equity</t>
  </si>
  <si>
    <t>Non-current liabilities</t>
  </si>
  <si>
    <t>Accounts payable, accruals and provisions</t>
  </si>
  <si>
    <t>Interest bearing loans and borrowings</t>
  </si>
  <si>
    <t>Non convertible Sukuks</t>
  </si>
  <si>
    <t>Non- convertible Bonds</t>
  </si>
  <si>
    <t>Lease liabilities</t>
  </si>
  <si>
    <t>Employees’ end of service benefits</t>
  </si>
  <si>
    <t>Deferred Tax Liability</t>
  </si>
  <si>
    <t>Current liabilities</t>
  </si>
  <si>
    <t>TOTAL EQUITY AND LIABILITIES</t>
  </si>
  <si>
    <t>Check</t>
  </si>
  <si>
    <t>Gross Debt (incl. lease liabilities)</t>
  </si>
  <si>
    <t>Current</t>
  </si>
  <si>
    <t>Net Debt</t>
  </si>
  <si>
    <t>OPERATING ACTIVITIES</t>
  </si>
  <si>
    <t>Adjustments for:</t>
  </si>
  <si>
    <t>Depreciation of property, plant and equipment &amp; right of use assets</t>
  </si>
  <si>
    <t>Amortisation of intangibles</t>
  </si>
  <si>
    <t>Finance income relating to finance lease receivable</t>
  </si>
  <si>
    <t>Lease rentals received</t>
  </si>
  <si>
    <t>Share of results of associates</t>
  </si>
  <si>
    <t>Share of results of joint ventures (JV)</t>
  </si>
  <si>
    <t>Provision for employees’ end of service benefits</t>
  </si>
  <si>
    <t>(Gain) / Loss on acquisitions</t>
  </si>
  <si>
    <t>(Gain) / Loss on disposal of associates</t>
  </si>
  <si>
    <t>(Gain) / Loss on disposal of subsidiaries</t>
  </si>
  <si>
    <t>Other income and charges</t>
  </si>
  <si>
    <t>Allowance for trade receivables</t>
  </si>
  <si>
    <t>Cash flows from operations before working capital changes</t>
  </si>
  <si>
    <t>Changes in working capital:</t>
  </si>
  <si>
    <t>Cash flows from operating activities</t>
  </si>
  <si>
    <t>Employees’ end of service benefits paid</t>
  </si>
  <si>
    <t>Income tax paid</t>
  </si>
  <si>
    <t>Net cash flows from operating activities</t>
  </si>
  <si>
    <t>INVESTING ACTIVITIES</t>
  </si>
  <si>
    <t>Purchase of property, plant and equipment (PPE)</t>
  </si>
  <si>
    <t>Acquisitions</t>
  </si>
  <si>
    <t>Disposal of PPE</t>
  </si>
  <si>
    <t>Investments in associates &amp; JVs</t>
  </si>
  <si>
    <t>Additional share in subsidiaries</t>
  </si>
  <si>
    <t>Proceeds from sale of an associates / JVs / subsidiaries</t>
  </si>
  <si>
    <t>Dividends from associates &amp; JVs</t>
  </si>
  <si>
    <t>Interest received</t>
  </si>
  <si>
    <t>Term deposits with original maturity  of more than 3 months</t>
  </si>
  <si>
    <t>Net cash flows from investing activities</t>
  </si>
  <si>
    <t>FINANCING ACTIVITIES</t>
  </si>
  <si>
    <t>Interest bearing loans and borrowings raised / (repaid)</t>
  </si>
  <si>
    <t>Sukuks issued / (repaid)</t>
  </si>
  <si>
    <t>Bonds issued / (repaid)</t>
  </si>
  <si>
    <t>Islamic financing arrangements raised / (repaid)</t>
  </si>
  <si>
    <t>Interest paid</t>
  </si>
  <si>
    <t>Transaction cost / fee paid</t>
  </si>
  <si>
    <t>Dividends paid to ordinary shareholders</t>
  </si>
  <si>
    <t>Net cash flows from financing activities</t>
  </si>
  <si>
    <t>NET INCREASE IN CASH AND CASH EQUIVALENTS</t>
  </si>
  <si>
    <t>Cash and cash equivalents at the beginning of period</t>
  </si>
  <si>
    <t>CASH AND CASH EQUIVALENTS AT THE END OF PERIOD</t>
  </si>
  <si>
    <t>Assumed no change from previous year (previous year adjusted for impact of deferred tax)</t>
  </si>
  <si>
    <t>Year T-0 direct cost (incl. depreciation &amp; amortization)</t>
  </si>
  <si>
    <t>Estimated using last 3 years' average margin</t>
  </si>
  <si>
    <t>Refer Analyst Guide, Assumed same as T-0</t>
  </si>
  <si>
    <t>Assumed no addition, amortization at year T-0 rate</t>
  </si>
  <si>
    <t>Refer workings below, assumed equal to year T+1 lease rentals received</t>
  </si>
  <si>
    <t>T-0 Value / T-0 CPI Indexation x T+1 CPI Indexation</t>
  </si>
  <si>
    <t>Avergae Capex / RT**</t>
  </si>
  <si>
    <t>Average Construction cost per connected RT for a Greenfield plant*</t>
  </si>
  <si>
    <t xml:space="preserve">*Average cost based on plant capacity upto 10k RT, larger plants usually have lower cost per RT since civil works cost do not increase directly in proportion to additional capacity. Actual cost could vary depending on length of network, size of plant, number of chillers, presence of thermal energy storage etc.. </t>
  </si>
  <si>
    <t>Tabreed charges off all maintenance capex as direct cost in its income statement.</t>
  </si>
  <si>
    <t>Q3 2024</t>
  </si>
  <si>
    <t>Equity accounted capacity*</t>
  </si>
  <si>
    <t>* Equity accounted capacity represents 100% share and not stake equivalent</t>
  </si>
  <si>
    <t>Capital contribution by non-controlling interests</t>
  </si>
  <si>
    <t>FY 2024</t>
  </si>
  <si>
    <t>1) Equity accounted capacity represents 100% share of entities, where Tabreed owns 50% interest in UAE and 21.8% interest in Saudi Arabia</t>
  </si>
  <si>
    <t>2) Consumption volumes for entities that are consolidated and contribute to revenue and EBITDA</t>
  </si>
  <si>
    <r>
      <t>Total Equity Accounted</t>
    </r>
    <r>
      <rPr>
        <vertAlign val="superscript"/>
        <sz val="10"/>
        <rFont val="TT Commons DemiBold"/>
      </rPr>
      <t>1</t>
    </r>
  </si>
  <si>
    <r>
      <t>Total Consolidated</t>
    </r>
    <r>
      <rPr>
        <vertAlign val="superscript"/>
        <sz val="10"/>
        <rFont val="TT Commons DemiBold"/>
      </rPr>
      <t>2</t>
    </r>
  </si>
  <si>
    <t>Q4 2024</t>
  </si>
  <si>
    <t>Tabreed Parks Investment</t>
  </si>
  <si>
    <t>2026</t>
  </si>
  <si>
    <t>2027</t>
  </si>
  <si>
    <t>Total debt is excluding the Lease Liabilities which are created on implementation of IFRS 16</t>
  </si>
  <si>
    <t>Current all-in cost of debt - approximate*</t>
  </si>
  <si>
    <t>Consolidated Capacity Connected (excl. disposals/acquisitions)</t>
  </si>
  <si>
    <t>Base Revenue / Consolidated Capacity</t>
  </si>
  <si>
    <t>Repayments in 2026 moved to short-term liabilities</t>
  </si>
  <si>
    <t>Customer advances, accrued expenses, contract liabilities, deposits, tax payables and hedges (mostly fixed year over year)</t>
  </si>
  <si>
    <t>Refer workings below (after finance lease amortisation)</t>
  </si>
  <si>
    <t>Growth in new connections (low-end of guidance range of 3% to 5%)</t>
  </si>
  <si>
    <t>Non-Current</t>
  </si>
  <si>
    <t>Dividends paid to non-controlling interests (inlcuding repayment of capital)</t>
  </si>
  <si>
    <t>Q1 2025</t>
  </si>
  <si>
    <r>
      <t xml:space="preserve">CONNECTED CAPACITY </t>
    </r>
    <r>
      <rPr>
        <i/>
        <sz val="10"/>
        <color rgb="FF284D8B"/>
        <rFont val="TT Commons DemiBold"/>
      </rPr>
      <t>(Refrigeration Tons 000s)</t>
    </r>
  </si>
  <si>
    <r>
      <rPr>
        <sz val="10"/>
        <color rgb="FF284D8B"/>
        <rFont val="TT Commons DemiBold"/>
      </rPr>
      <t>CONSUMPTION</t>
    </r>
    <r>
      <rPr>
        <sz val="10"/>
        <color rgb="FF284D8B"/>
        <rFont val="TT Commons"/>
      </rPr>
      <t xml:space="preserve"> </t>
    </r>
    <r>
      <rPr>
        <i/>
        <sz val="10"/>
        <color rgb="FF284D8B"/>
        <rFont val="TT Commons DemiBold"/>
      </rPr>
      <t>(Refrigeration Ton-Hours billions)</t>
    </r>
  </si>
  <si>
    <t>Q2 2025</t>
  </si>
  <si>
    <t>Dividend per share declared for the period**</t>
  </si>
  <si>
    <t>Reserves &amp; Others</t>
  </si>
  <si>
    <t>All-in interest cost should be used to forecast intrest cost as over 100% of existing debt is fixed/hedged, All-in cost of debt will change post full impact refinancing and new debt</t>
  </si>
  <si>
    <t>Q3 2025</t>
  </si>
  <si>
    <t>1) Historical financials may have been restated / reclassed as per latest audited / reviewed financial statements</t>
  </si>
  <si>
    <t>2) EBITDA is calculated as Operating profit + Depreciation and amortization + Finance lease amortization, where Finance lease amortization is Lease rentals received less Finance lease income</t>
  </si>
  <si>
    <t>3) Normalized Net Profit is defined as profit attributable to parent adjusted for non-recurring items and is calculated as Profit attributable to the parent - Other one-off income + Other one-off losses + Deferred tax liability</t>
  </si>
  <si>
    <r>
      <t>Annual</t>
    </r>
    <r>
      <rPr>
        <vertAlign val="superscript"/>
        <sz val="10"/>
        <rFont val="TT Commons DemiBold"/>
      </rPr>
      <t>1</t>
    </r>
  </si>
  <si>
    <r>
      <t>Quarterly</t>
    </r>
    <r>
      <rPr>
        <vertAlign val="superscript"/>
        <sz val="10"/>
        <rFont val="TT Commons DemiBold"/>
      </rPr>
      <t>1</t>
    </r>
  </si>
  <si>
    <r>
      <t>EBITDA</t>
    </r>
    <r>
      <rPr>
        <vertAlign val="superscript"/>
        <sz val="10"/>
        <color theme="1"/>
        <rFont val="TT Commons DemiBold"/>
      </rPr>
      <t>2</t>
    </r>
  </si>
  <si>
    <r>
      <t>Normalized Net Profit</t>
    </r>
    <r>
      <rPr>
        <vertAlign val="superscript"/>
        <sz val="10"/>
        <color theme="1"/>
        <rFont val="TT Commons DemiBold"/>
      </rPr>
      <t>3</t>
    </r>
  </si>
  <si>
    <r>
      <t>Value Chain Business</t>
    </r>
    <r>
      <rPr>
        <b/>
        <i/>
        <vertAlign val="superscript"/>
        <sz val="10"/>
        <color rgb="FF284D8B"/>
        <rFont val="TT Commons"/>
      </rPr>
      <t>3</t>
    </r>
  </si>
  <si>
    <t>3) Intercompany eliminations mostly relate to Value Chain Business and thus combined with results of Value Chain Business segment.</t>
  </si>
  <si>
    <t>Advance for acquisition of investment</t>
  </si>
  <si>
    <r>
      <t>Free Cash Flows</t>
    </r>
    <r>
      <rPr>
        <vertAlign val="superscript"/>
        <sz val="10"/>
        <color theme="1"/>
        <rFont val="TT Commons DemiBold"/>
      </rPr>
      <t>2</t>
    </r>
  </si>
  <si>
    <t xml:space="preserve">2) Free Cash Flows are calculated as Net cash flows from operating activities + net cash flows from investing activities excluding interest received and term deposits </t>
  </si>
  <si>
    <t>2025 Operational Data</t>
  </si>
  <si>
    <t>Connected Capacity Growth (2026-28)</t>
  </si>
  <si>
    <t>2025 Cash Flow Statement</t>
  </si>
  <si>
    <t>2025 Segmental Results</t>
  </si>
  <si>
    <t>Arctic Holdco*</t>
  </si>
  <si>
    <t>Sahara Cooling**</t>
  </si>
  <si>
    <t>Industrial City Cooling (Abu Dhabi Industrial area)***</t>
  </si>
  <si>
    <t>** Sahara Cooling provides 55.6k RT of cooling to Tabreed which is sold by Tabreed to its customers. Revenue from those customers is included in Tabreed's top line, billings from Sahara to Tabreed are included under costs as "Purchase of Chilled Water from an Associate".</t>
  </si>
  <si>
    <t>*** During 2024, the shareholders of the Industrial City Cooling Company have resolved to liquidate it and the liquidation process was completed in 2025, resulting in net gain.</t>
  </si>
  <si>
    <t>* Arctic Holdco (holding company of PAL Cooling) share of results for 2025 reflect one-off transaction costs realted to closing of acquisition by Tabreed and CVC DIF.</t>
  </si>
  <si>
    <t>2025 Financials</t>
  </si>
  <si>
    <t>Opening Balance (1 Jan 2025)</t>
  </si>
  <si>
    <t>Balance at 31 December 2025</t>
  </si>
  <si>
    <t>2028</t>
  </si>
  <si>
    <t>2029 onwards</t>
  </si>
  <si>
    <t>* Gross repayments (as of 31 Dec. 2025) including the upfront transaction fee which is amortised, while reported debt is net of upfront fee</t>
  </si>
  <si>
    <t>* Finance cost based on outstanding debt as of 31 December 2025 and is expected to change post any new debt issuance or repayment of existing debt</t>
  </si>
  <si>
    <t>Last 3 years' average (2023-2025)</t>
  </si>
  <si>
    <t>In the last 3 years (2023-2025)</t>
  </si>
  <si>
    <t>Total Capital Expenditure (excl. disposals/acquisitions)</t>
  </si>
  <si>
    <t>Calculated from 2025 Financials</t>
  </si>
  <si>
    <t>** Payable days are calculated on average balance of accounts payable, dues to related parties  and other payables related to operating expenses and excludes deposits, customer advances, contract liabilities, accrued liabilities &amp; provisions, tax.</t>
  </si>
  <si>
    <t>Refer Guide, Modelling assumption CAGR of 2% (in line with the last 5 years)</t>
  </si>
  <si>
    <t>~62% of direct cost attributable to utility cost and thus linked to consumption growth</t>
  </si>
  <si>
    <t xml:space="preserve">Assumed at 2025 level </t>
  </si>
  <si>
    <t>Average cost of debt funding as of 2025 end</t>
  </si>
  <si>
    <t>Assumed in line with 2025 (% of revenue)</t>
  </si>
  <si>
    <t>2026 payments moved to short-term liabilities</t>
  </si>
  <si>
    <t>Assumed to be amortized over remaning 39 years</t>
  </si>
  <si>
    <t>Refer workings below + guide (c.93% of D&amp;A charges allocated to Direct cost)</t>
  </si>
  <si>
    <t>As per CAPEX Guidance of AED 200-300 million</t>
  </si>
  <si>
    <t>FY 2025</t>
  </si>
  <si>
    <t>Q4 2025</t>
  </si>
  <si>
    <t>** For the year 2021, 50% of dividend was paid as bonus shares</t>
  </si>
  <si>
    <t>Current Version     15.7 / May 2026</t>
  </si>
  <si>
    <t>Previous Version    15.6 / Februaury 2026</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</si>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</sst>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_);_(* \(#,##0\);_(* &quot;-&quot;??_);_(@_)"/>
    <numFmt numFmtId="165" formatCode="#,##0_);\(#,##0\);&quot;-  &quot;;&quot; &quot;@&quot; &quot;"/>
    <numFmt numFmtId="166" formatCode="0.00%_);\-0.00%_);&quot;-  &quot;;&quot; &quot;@&quot; &quot;"/>
    <numFmt numFmtId="167" formatCode="#,##0.0000_);\(#,##0.0000\);&quot;-  &quot;;&quot; &quot;@&quot; &quot;"/>
    <numFmt numFmtId="168" formatCode="dd\ mmm\ yyyy_);\(###0\);&quot;-  &quot;;&quot; &quot;@&quot; &quot;"/>
    <numFmt numFmtId="169" formatCode="dd\ mmm\ yy_);\(###0\);&quot;-  &quot;;&quot; &quot;@&quot; &quot;"/>
    <numFmt numFmtId="170" formatCode="###0_);\(###0\);&quot;-  &quot;;&quot; &quot;@&quot; &quot;"/>
    <numFmt numFmtId="171" formatCode="#,##0.00_);\(#,##0.00\);&quot;-  &quot;;&quot; &quot;@&quot; &quot;"/>
    <numFmt numFmtId="172" formatCode="0%_);\-0%_);&quot;-  &quot;;&quot; &quot;@&quot; &quot;"/>
    <numFmt numFmtId="173" formatCode="0.0"/>
    <numFmt numFmtId="174" formatCode="#,##0.0_);\(#,##0.0\);&quot;-  &quot;;&quot; &quot;@&quot; &quot;"/>
    <numFmt numFmtId="175" formatCode="#,##0;\(#,##0\)"/>
    <numFmt numFmtId="176" formatCode="#,##0.000_);\(#,##0.000\);&quot;-  &quot;;&quot; &quot;@&quot; &quot;"/>
    <numFmt numFmtId="177" formatCode="0.0%_);\-0.0%_);&quot;-  &quot;;&quot; &quot;@&quot; &quot;"/>
    <numFmt numFmtId="178" formatCode="#,##0.00;\(#,##0.00\)"/>
    <numFmt numFmtId="179" formatCode="#,##0.0_);\(#,##0.0\)"/>
    <numFmt numFmtId="180" formatCode="0.0%"/>
    <numFmt numFmtId="181" formatCode="_(* #,##0.0_);_(* \(#,##0.0\);_(* &quot;-&quot;??_);_(@_)"/>
    <numFmt numFmtId="182" formatCode="#,##0.000_);\(#,##0.000\)"/>
  </numFmts>
  <fonts count="81">
    <font>
      <sz val="10"/>
      <color theme="1"/>
      <name val="Calibri"/>
      <family val="2"/>
    </font>
    <font>
      <sz val="11"/>
      <color theme="1"/>
      <name val="Calibri"/>
      <family val="2"/>
      <scheme val="minor"/>
    </font>
    <font>
      <sz val="11"/>
      <color theme="1"/>
      <name val="Calibri"/>
      <family val="2"/>
      <scheme val="minor"/>
    </font>
    <font>
      <sz val="10"/>
      <color theme="1"/>
      <name val="Calibri"/>
      <family val="2"/>
    </font>
    <font>
      <sz val="9"/>
      <color theme="1"/>
      <name val="Verdana"/>
      <family val="2"/>
    </font>
    <font>
      <sz val="10"/>
      <name val="Arial"/>
      <family val="2"/>
    </font>
    <font>
      <sz val="11"/>
      <color theme="1"/>
      <name val="Calibri"/>
      <family val="2"/>
      <scheme val="minor"/>
    </font>
    <font>
      <sz val="11"/>
      <color theme="1"/>
      <name val="Calibri"/>
      <family val="2"/>
    </font>
    <font>
      <sz val="10"/>
      <name val="Helvetica 45 Light"/>
      <family val="2"/>
    </font>
    <font>
      <b/>
      <sz val="10"/>
      <color theme="1"/>
      <name val="Verdana"/>
      <family val="2"/>
    </font>
    <font>
      <sz val="16"/>
      <color rgb="FF00B0F0"/>
      <name val="TT Commons DemiBold"/>
    </font>
    <font>
      <sz val="10"/>
      <color theme="1"/>
      <name val="TT Commons DemiBold"/>
    </font>
    <font>
      <i/>
      <sz val="10"/>
      <color theme="1"/>
      <name val="TT Commons DemiBold"/>
    </font>
    <font>
      <b/>
      <sz val="10"/>
      <color theme="0"/>
      <name val="TT Commons DemiBold"/>
    </font>
    <font>
      <sz val="10"/>
      <color theme="0"/>
      <name val="TT Commons DemiBold"/>
    </font>
    <font>
      <sz val="12"/>
      <color theme="0"/>
      <name val="TT Commons DemiBold"/>
    </font>
    <font>
      <sz val="10"/>
      <color theme="1"/>
      <name val="TT Commons"/>
    </font>
    <font>
      <i/>
      <sz val="10"/>
      <color theme="1"/>
      <name val="TT Commons"/>
    </font>
    <font>
      <sz val="12"/>
      <color theme="1"/>
      <name val="TT Commons DemiBold"/>
    </font>
    <font>
      <b/>
      <sz val="10"/>
      <color theme="1"/>
      <name val="TT Commons"/>
    </font>
    <font>
      <b/>
      <sz val="10"/>
      <color theme="0"/>
      <name val="TT Commons"/>
    </font>
    <font>
      <b/>
      <i/>
      <sz val="10"/>
      <color theme="1"/>
      <name val="TT Commons"/>
    </font>
    <font>
      <b/>
      <sz val="10"/>
      <color rgb="FF0070C0"/>
      <name val="TT Commons"/>
    </font>
    <font>
      <sz val="10"/>
      <color rgb="FFFF0000"/>
      <name val="TT Commons"/>
    </font>
    <font>
      <sz val="10"/>
      <color rgb="FF002060"/>
      <name val="TT Commons"/>
    </font>
    <font>
      <sz val="10"/>
      <color rgb="FF0070C0"/>
      <name val="TT Commons"/>
    </font>
    <font>
      <u/>
      <sz val="10"/>
      <color theme="1"/>
      <name val="TT Commons"/>
    </font>
    <font>
      <b/>
      <sz val="10"/>
      <name val="TT Commons"/>
    </font>
    <font>
      <sz val="10"/>
      <name val="TT Commons"/>
    </font>
    <font>
      <sz val="10"/>
      <color theme="0"/>
      <name val="TT Commons"/>
    </font>
    <font>
      <i/>
      <sz val="10"/>
      <color theme="0"/>
      <name val="TT Commons"/>
    </font>
    <font>
      <b/>
      <sz val="10"/>
      <color theme="4"/>
      <name val="TT Commons"/>
    </font>
    <font>
      <i/>
      <sz val="10"/>
      <name val="TT Commons"/>
    </font>
    <font>
      <sz val="12"/>
      <color rgb="FF00B0F0"/>
      <name val="TT Commons DemiBold"/>
    </font>
    <font>
      <sz val="10"/>
      <color theme="0"/>
      <name val="Calibri"/>
      <family val="2"/>
    </font>
    <font>
      <sz val="32"/>
      <color theme="0"/>
      <name val="TT Commons DemiBold"/>
    </font>
    <font>
      <sz val="12"/>
      <color theme="0"/>
      <name val="TT Commons"/>
    </font>
    <font>
      <sz val="12"/>
      <color theme="1"/>
      <name val="Calibri"/>
      <family val="2"/>
    </font>
    <font>
      <sz val="12"/>
      <color theme="1"/>
      <name val="Verdana"/>
      <family val="2"/>
    </font>
    <font>
      <b/>
      <sz val="12"/>
      <color theme="1"/>
      <name val="Verdana"/>
      <family val="2"/>
    </font>
    <font>
      <i/>
      <sz val="12"/>
      <color theme="1"/>
      <name val="Verdana"/>
      <family val="2"/>
    </font>
    <font>
      <sz val="14"/>
      <color theme="0"/>
      <name val="TT Commons DemiBold"/>
    </font>
    <font>
      <sz val="14"/>
      <color rgb="FF002060"/>
      <name val="TT Commons DemiBold"/>
    </font>
    <font>
      <b/>
      <sz val="10"/>
      <color theme="1"/>
      <name val="TT Commons DemiBold"/>
    </font>
    <font>
      <sz val="10"/>
      <color rgb="FF00B0F0"/>
      <name val="TT Commons DemiBold"/>
    </font>
    <font>
      <sz val="10"/>
      <name val="TT Commons DemiBold"/>
    </font>
    <font>
      <b/>
      <i/>
      <sz val="10"/>
      <color theme="1"/>
      <name val="TT Commons DemiBold"/>
    </font>
    <font>
      <b/>
      <sz val="10"/>
      <color rgb="FFFF0000"/>
      <name val="TT Commons"/>
    </font>
    <font>
      <sz val="10"/>
      <color theme="4"/>
      <name val="TT Commons"/>
    </font>
    <font>
      <i/>
      <sz val="10"/>
      <name val="TT Commons DemiBold"/>
    </font>
    <font>
      <u/>
      <sz val="10"/>
      <color theme="10"/>
      <name val="Calibri"/>
      <family val="2"/>
    </font>
    <font>
      <i/>
      <sz val="10"/>
      <color rgb="FFFF0000"/>
      <name val="TT Commons"/>
    </font>
    <font>
      <b/>
      <i/>
      <sz val="10"/>
      <color theme="0"/>
      <name val="TT Commons"/>
    </font>
    <font>
      <sz val="26"/>
      <color theme="0"/>
      <name val="TT Commons"/>
    </font>
    <font>
      <sz val="10"/>
      <color theme="0" tint="-0.499984740745262"/>
      <name val="TT Commons"/>
    </font>
    <font>
      <sz val="10"/>
      <color theme="0" tint="-0.34998626667073579"/>
      <name val="TT Commons"/>
    </font>
    <font>
      <b/>
      <sz val="12"/>
      <color theme="1"/>
      <name val="TT Commons"/>
    </font>
    <font>
      <b/>
      <sz val="10"/>
      <name val="TT Commons DemiBold"/>
    </font>
    <font>
      <sz val="9"/>
      <color theme="1"/>
      <name val="TT Commons"/>
    </font>
    <font>
      <b/>
      <i/>
      <sz val="9"/>
      <color theme="1"/>
      <name val="TT Commons"/>
    </font>
    <font>
      <b/>
      <sz val="9"/>
      <color theme="1"/>
      <name val="TT Commons"/>
    </font>
    <font>
      <sz val="12"/>
      <color rgb="FF00B0F0"/>
      <name val="TT Commons"/>
    </font>
    <font>
      <sz val="14"/>
      <color rgb="FF002060"/>
      <name val="TT Commons"/>
    </font>
    <font>
      <u/>
      <sz val="9"/>
      <color theme="10"/>
      <name val="TT Commons"/>
    </font>
    <font>
      <sz val="11"/>
      <color theme="0"/>
      <name val="TT Commons"/>
    </font>
    <font>
      <vertAlign val="superscript"/>
      <sz val="10"/>
      <color theme="1"/>
      <name val="TT Commons DemiBold"/>
    </font>
    <font>
      <vertAlign val="superscript"/>
      <sz val="10"/>
      <name val="TT Commons DemiBold"/>
    </font>
    <font>
      <sz val="9"/>
      <color theme="0"/>
      <name val="Calibri"/>
      <family val="2"/>
    </font>
    <font>
      <sz val="9"/>
      <color theme="1"/>
      <name val="Calibri"/>
      <family val="2"/>
    </font>
    <font>
      <sz val="14"/>
      <color rgb="FF284D8B"/>
      <name val="TT Commons DemiBold"/>
    </font>
    <font>
      <b/>
      <sz val="14"/>
      <color rgb="FF284D8B"/>
      <name val="Arial"/>
      <family val="2"/>
    </font>
    <font>
      <sz val="10"/>
      <color rgb="FF284D8B"/>
      <name val="TT Commons"/>
    </font>
    <font>
      <sz val="10"/>
      <color rgb="FF284D8B"/>
      <name val="TT Commons DemiBold"/>
    </font>
    <font>
      <b/>
      <sz val="10"/>
      <color rgb="FF284D8B"/>
      <name val="TT Commons"/>
    </font>
    <font>
      <i/>
      <sz val="10"/>
      <color rgb="FF284D8B"/>
      <name val="TT Commons"/>
    </font>
    <font>
      <i/>
      <sz val="10"/>
      <color rgb="FF284D8B"/>
      <name val="TT Commons DemiBold"/>
    </font>
    <font>
      <b/>
      <sz val="14"/>
      <color rgb="FF284D8B"/>
      <name val="arialns DemiBold"/>
    </font>
    <font>
      <i/>
      <sz val="11"/>
      <color rgb="FF284D8B"/>
      <name val="TT Commons DemiBold"/>
    </font>
    <font>
      <b/>
      <i/>
      <sz val="10"/>
      <color rgb="FF284D8B"/>
      <name val="TT Commons"/>
    </font>
    <font>
      <b/>
      <i/>
      <vertAlign val="superscript"/>
      <sz val="10"/>
      <color rgb="FF284D8B"/>
      <name val="TT Commons"/>
    </font>
    <font>
      <sz val="10"/>
      <color rgb="FF0070C0"/>
      <name val="TT Commons DemiBold"/>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84D8B"/>
        <bgColor indexed="64"/>
      </patternFill>
    </fill>
  </fills>
  <borders count="41">
    <border>
      <left/>
      <right/>
      <top/>
      <bottom/>
      <diagonal/>
    </border>
    <border>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top style="thin">
        <color rgb="FF808080"/>
      </top>
      <bottom/>
      <diagonal/>
    </border>
    <border>
      <left/>
      <right/>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thin">
        <color rgb="FF808080"/>
      </right>
      <top style="thin">
        <color rgb="FF808080"/>
      </top>
      <bottom/>
      <diagonal/>
    </border>
    <border>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rgb="FF808080"/>
      </top>
      <bottom style="thin">
        <color rgb="FF808080"/>
      </bottom>
      <diagonal/>
    </border>
    <border>
      <left/>
      <right/>
      <top style="medium">
        <color rgb="FF00B0F0"/>
      </top>
      <bottom style="medium">
        <color rgb="FF00B0F0"/>
      </bottom>
      <diagonal/>
    </border>
    <border>
      <left/>
      <right/>
      <top style="medium">
        <color auto="1"/>
      </top>
      <bottom style="medium">
        <color auto="1"/>
      </bottom>
      <diagonal/>
    </border>
    <border>
      <left style="thin">
        <color theme="0" tint="-0.499984740745262"/>
      </left>
      <right/>
      <top style="medium">
        <color rgb="FF00B0F0"/>
      </top>
      <bottom style="medium">
        <color rgb="FF00B0F0"/>
      </bottom>
      <diagonal/>
    </border>
    <border>
      <left/>
      <right style="thin">
        <color theme="0" tint="-0.499984740745262"/>
      </right>
      <top style="medium">
        <color rgb="FF00B0F0"/>
      </top>
      <bottom style="medium">
        <color rgb="FF00B0F0"/>
      </bottom>
      <diagonal/>
    </border>
    <border>
      <left style="thin">
        <color theme="0" tint="-0.499984740745262"/>
      </left>
      <right/>
      <top style="medium">
        <color auto="1"/>
      </top>
      <bottom style="medium">
        <color auto="1"/>
      </bottom>
      <diagonal/>
    </border>
    <border>
      <left/>
      <right style="thin">
        <color theme="0" tint="-0.499984740745262"/>
      </right>
      <top style="medium">
        <color auto="1"/>
      </top>
      <bottom style="medium">
        <color auto="1"/>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style="medium">
        <color auto="1"/>
      </bottom>
      <diagonal/>
    </border>
    <border>
      <left/>
      <right/>
      <top/>
      <bottom style="medium">
        <color auto="1"/>
      </bottom>
      <diagonal/>
    </border>
    <border>
      <left/>
      <right style="thin">
        <color theme="0" tint="-0.499984740745262"/>
      </right>
      <top/>
      <bottom style="medium">
        <color auto="1"/>
      </bottom>
      <diagonal/>
    </border>
    <border>
      <left/>
      <right style="thin">
        <color theme="0" tint="-0.499984740745262"/>
      </right>
      <top style="medium">
        <color auto="1"/>
      </top>
      <bottom/>
      <diagonal/>
    </border>
    <border>
      <left/>
      <right/>
      <top style="medium">
        <color auto="1"/>
      </top>
      <bottom/>
      <diagonal/>
    </border>
    <border>
      <left style="thin">
        <color theme="0" tint="-0.499984740745262"/>
      </left>
      <right/>
      <top style="medium">
        <color auto="1"/>
      </top>
      <bottom/>
      <diagonal/>
    </border>
  </borders>
  <cellStyleXfs count="19">
    <xf numFmtId="165" fontId="0"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7"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170" fontId="3" fillId="0" borderId="0" applyFont="0" applyFill="0" applyBorder="0" applyProtection="0">
      <alignment vertical="top"/>
    </xf>
    <xf numFmtId="43" fontId="5"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0" borderId="0" applyFill="0" applyBorder="0" applyAlignment="0" applyProtection="0"/>
    <xf numFmtId="0" fontId="7" fillId="0" borderId="0"/>
    <xf numFmtId="0" fontId="8" fillId="0" borderId="0" applyFill="0" applyBorder="0" applyAlignment="0" applyProtection="0"/>
    <xf numFmtId="165" fontId="50" fillId="0" borderId="0" applyNumberFormat="0" applyFill="0" applyBorder="0" applyAlignment="0" applyProtection="0">
      <alignment vertical="top"/>
    </xf>
    <xf numFmtId="0" fontId="2" fillId="0" borderId="0"/>
    <xf numFmtId="9" fontId="5" fillId="0" borderId="0" applyFont="0" applyFill="0" applyBorder="0" applyAlignment="0" applyProtection="0"/>
    <xf numFmtId="0" fontId="5" fillId="0" borderId="0"/>
    <xf numFmtId="0" fontId="1" fillId="0" borderId="0"/>
  </cellStyleXfs>
  <cellXfs count="506">
    <xf numFmtId="165" fontId="0" fillId="0" borderId="0" xfId="0">
      <alignment vertical="top"/>
    </xf>
    <xf numFmtId="165" fontId="4" fillId="0" borderId="0" xfId="0" applyFont="1">
      <alignment vertical="top"/>
    </xf>
    <xf numFmtId="165" fontId="0" fillId="0" borderId="0" xfId="0" applyAlignment="1">
      <alignment horizontal="center" vertical="top"/>
    </xf>
    <xf numFmtId="165" fontId="11" fillId="0" borderId="0" xfId="0" applyFont="1">
      <alignment vertical="top"/>
    </xf>
    <xf numFmtId="165" fontId="0" fillId="0" borderId="0" xfId="0" applyAlignment="1">
      <alignment horizontal="left" vertical="top"/>
    </xf>
    <xf numFmtId="165" fontId="11" fillId="0" borderId="0" xfId="0" applyFont="1" applyAlignment="1">
      <alignment horizontal="left" vertical="top"/>
    </xf>
    <xf numFmtId="165" fontId="11" fillId="0" borderId="0" xfId="0" applyFont="1" applyFill="1">
      <alignment vertical="top"/>
    </xf>
    <xf numFmtId="17" fontId="11" fillId="0" borderId="0" xfId="0" applyNumberFormat="1" applyFont="1" applyFill="1" applyAlignment="1">
      <alignment horizontal="left" vertical="top"/>
    </xf>
    <xf numFmtId="165" fontId="12" fillId="0" borderId="0" xfId="0" applyFont="1" applyFill="1" applyAlignment="1">
      <alignment horizontal="center" vertical="top"/>
    </xf>
    <xf numFmtId="0" fontId="12" fillId="0" borderId="0" xfId="0" applyNumberFormat="1" applyFont="1" applyFill="1" applyAlignment="1">
      <alignment horizontal="centerContinuous" vertical="top"/>
    </xf>
    <xf numFmtId="173" fontId="16" fillId="0" borderId="0" xfId="1" applyNumberFormat="1" applyFont="1" applyFill="1" applyAlignment="1">
      <alignment horizontal="left" vertical="top"/>
    </xf>
    <xf numFmtId="165" fontId="16" fillId="0" borderId="0" xfId="0" applyFont="1" applyFill="1">
      <alignment vertical="top"/>
    </xf>
    <xf numFmtId="165" fontId="16" fillId="0" borderId="0" xfId="0" applyFont="1" applyFill="1" applyAlignment="1">
      <alignment horizontal="centerContinuous" vertical="top"/>
    </xf>
    <xf numFmtId="0" fontId="16" fillId="0" borderId="0" xfId="0" applyNumberFormat="1" applyFont="1" applyFill="1" applyAlignment="1">
      <alignment horizontal="left" vertical="top"/>
    </xf>
    <xf numFmtId="165" fontId="18" fillId="0" borderId="0" xfId="0" applyFont="1" applyFill="1">
      <alignment vertical="top"/>
    </xf>
    <xf numFmtId="165" fontId="16" fillId="0" borderId="0" xfId="0" applyFont="1">
      <alignment vertical="top"/>
    </xf>
    <xf numFmtId="165" fontId="19" fillId="0" borderId="0" xfId="0" applyFont="1" applyAlignment="1">
      <alignment horizontal="center" vertical="top"/>
    </xf>
    <xf numFmtId="165" fontId="17" fillId="0" borderId="0" xfId="0" applyFont="1" applyAlignment="1">
      <alignment horizontal="center" vertical="top"/>
    </xf>
    <xf numFmtId="166" fontId="16" fillId="0" borderId="0" xfId="2" applyFont="1">
      <alignment vertical="top"/>
    </xf>
    <xf numFmtId="165" fontId="23" fillId="0" borderId="0" xfId="0" applyFont="1">
      <alignment vertical="top"/>
    </xf>
    <xf numFmtId="165" fontId="28" fillId="0" borderId="0" xfId="0" applyFont="1">
      <alignment vertical="top"/>
    </xf>
    <xf numFmtId="171" fontId="16" fillId="0" borderId="0" xfId="0" applyNumberFormat="1" applyFont="1">
      <alignment vertical="top"/>
    </xf>
    <xf numFmtId="165" fontId="19" fillId="0" borderId="0" xfId="0" applyFont="1" applyFill="1" applyBorder="1" applyAlignment="1">
      <alignment horizontal="center" vertical="top"/>
    </xf>
    <xf numFmtId="165" fontId="17" fillId="0" borderId="0" xfId="0" applyFont="1" applyFill="1" applyBorder="1" applyAlignment="1">
      <alignment horizontal="center" vertical="top"/>
    </xf>
    <xf numFmtId="165" fontId="16" fillId="0" borderId="0" xfId="0" applyFont="1" applyFill="1" applyBorder="1">
      <alignment vertical="top"/>
    </xf>
    <xf numFmtId="165" fontId="33" fillId="0" borderId="0" xfId="0" applyFont="1" applyAlignment="1">
      <alignment vertical="center"/>
    </xf>
    <xf numFmtId="165" fontId="34" fillId="0" borderId="0" xfId="0" applyFont="1">
      <alignment vertical="top"/>
    </xf>
    <xf numFmtId="165" fontId="36" fillId="0" borderId="0" xfId="0" applyFont="1">
      <alignment vertical="top"/>
    </xf>
    <xf numFmtId="165" fontId="37" fillId="0" borderId="0" xfId="0" applyFont="1" applyAlignment="1">
      <alignment horizontal="centerContinuous" vertical="top"/>
    </xf>
    <xf numFmtId="165" fontId="33" fillId="0" borderId="0" xfId="0" applyFont="1" applyAlignment="1">
      <alignment horizontal="centerContinuous" vertical="center"/>
    </xf>
    <xf numFmtId="165" fontId="37" fillId="0" borderId="0" xfId="0" applyFont="1">
      <alignment vertical="top"/>
    </xf>
    <xf numFmtId="165" fontId="38" fillId="0" borderId="0" xfId="0" applyFont="1" applyFill="1">
      <alignment vertical="top"/>
    </xf>
    <xf numFmtId="165" fontId="41" fillId="0" borderId="0" xfId="0" applyFont="1" applyFill="1">
      <alignment vertical="top"/>
    </xf>
    <xf numFmtId="165" fontId="19" fillId="0" borderId="3" xfId="0" applyFont="1" applyFill="1" applyBorder="1">
      <alignment vertical="top"/>
    </xf>
    <xf numFmtId="165" fontId="19" fillId="0" borderId="1" xfId="0" applyFont="1" applyFill="1" applyBorder="1">
      <alignment vertical="top"/>
    </xf>
    <xf numFmtId="165" fontId="23" fillId="0" borderId="1" xfId="0" applyFont="1" applyFill="1" applyBorder="1">
      <alignment vertical="top"/>
    </xf>
    <xf numFmtId="165" fontId="12" fillId="0" borderId="1" xfId="0" applyFont="1" applyFill="1" applyBorder="1">
      <alignment vertical="top"/>
    </xf>
    <xf numFmtId="165" fontId="12" fillId="0" borderId="4" xfId="0" applyFont="1" applyFill="1" applyBorder="1">
      <alignment vertical="top"/>
    </xf>
    <xf numFmtId="165" fontId="12" fillId="0" borderId="3" xfId="0" applyFont="1" applyFill="1" applyBorder="1">
      <alignment vertical="top"/>
    </xf>
    <xf numFmtId="165" fontId="12" fillId="0" borderId="0" xfId="0" applyFont="1" applyFill="1" applyBorder="1">
      <alignment vertical="top"/>
    </xf>
    <xf numFmtId="165" fontId="23" fillId="0" borderId="0" xfId="0" applyFont="1" applyFill="1" applyBorder="1">
      <alignment vertical="top"/>
    </xf>
    <xf numFmtId="172" fontId="11" fillId="0" borderId="0" xfId="2" applyNumberFormat="1" applyFont="1" applyFill="1" applyBorder="1" applyAlignment="1">
      <alignment horizontal="center" vertical="top"/>
    </xf>
    <xf numFmtId="165" fontId="28" fillId="0" borderId="0" xfId="0" applyFont="1" applyFill="1">
      <alignment vertical="top"/>
    </xf>
    <xf numFmtId="165" fontId="28" fillId="0" borderId="0" xfId="0" applyFont="1" applyFill="1" applyAlignment="1">
      <alignment horizontal="center" vertical="top" wrapText="1"/>
    </xf>
    <xf numFmtId="165" fontId="25" fillId="0" borderId="8" xfId="3" applyNumberFormat="1" applyFont="1" applyFill="1" applyBorder="1">
      <alignment vertical="top"/>
    </xf>
    <xf numFmtId="165" fontId="25" fillId="0" borderId="7" xfId="3" applyNumberFormat="1" applyFont="1" applyFill="1" applyBorder="1">
      <alignment vertical="top"/>
    </xf>
    <xf numFmtId="165" fontId="25" fillId="0" borderId="8" xfId="0" applyFont="1" applyFill="1" applyBorder="1" applyAlignment="1">
      <alignment horizontal="right" vertical="top"/>
    </xf>
    <xf numFmtId="165" fontId="25" fillId="0" borderId="7" xfId="0" applyFont="1" applyFill="1" applyBorder="1" applyAlignment="1">
      <alignment horizontal="right" vertical="top"/>
    </xf>
    <xf numFmtId="165" fontId="19" fillId="0" borderId="0" xfId="0" applyFont="1" applyFill="1" applyBorder="1" applyAlignment="1">
      <alignment horizontal="right" vertical="top"/>
    </xf>
    <xf numFmtId="165" fontId="11" fillId="0" borderId="9" xfId="0" applyFont="1" applyFill="1" applyBorder="1">
      <alignment vertical="top"/>
    </xf>
    <xf numFmtId="165" fontId="45" fillId="0" borderId="5" xfId="0" applyFont="1" applyFill="1" applyBorder="1" applyAlignment="1">
      <alignment horizontal="right" vertical="top" wrapText="1"/>
    </xf>
    <xf numFmtId="165" fontId="45" fillId="0" borderId="5" xfId="0" applyFont="1" applyFill="1" applyBorder="1" applyAlignment="1">
      <alignment horizontal="right" vertical="top"/>
    </xf>
    <xf numFmtId="3" fontId="16" fillId="0" borderId="0" xfId="0" applyNumberFormat="1" applyFont="1" applyFill="1" applyBorder="1">
      <alignment vertical="top"/>
    </xf>
    <xf numFmtId="164" fontId="45" fillId="0" borderId="0" xfId="1" applyNumberFormat="1" applyFont="1" applyFill="1" applyBorder="1" applyAlignment="1">
      <alignment horizontal="right"/>
    </xf>
    <xf numFmtId="165" fontId="21" fillId="0" borderId="1" xfId="0" applyFont="1" applyBorder="1" applyAlignment="1">
      <alignment horizontal="center" vertical="top"/>
    </xf>
    <xf numFmtId="165" fontId="19" fillId="0" borderId="0" xfId="0" applyFont="1" applyBorder="1">
      <alignment vertical="top"/>
    </xf>
    <xf numFmtId="165" fontId="11" fillId="0" borderId="1" xfId="0" applyFont="1" applyBorder="1">
      <alignment vertical="top"/>
    </xf>
    <xf numFmtId="165" fontId="12" fillId="0" borderId="1" xfId="0" applyFont="1" applyBorder="1" applyAlignment="1">
      <alignment horizontal="center" vertical="top"/>
    </xf>
    <xf numFmtId="165" fontId="16" fillId="0" borderId="0" xfId="0" applyFont="1" applyBorder="1">
      <alignment vertical="top"/>
    </xf>
    <xf numFmtId="165" fontId="11" fillId="0" borderId="0" xfId="0" applyFont="1" applyBorder="1">
      <alignment vertical="top"/>
    </xf>
    <xf numFmtId="165" fontId="15" fillId="0" borderId="0" xfId="0" quotePrefix="1" applyFont="1" applyFill="1">
      <alignment vertical="top"/>
    </xf>
    <xf numFmtId="165" fontId="36" fillId="0" borderId="0" xfId="0" quotePrefix="1" applyFont="1" applyFill="1" applyAlignment="1">
      <alignment horizontal="left" vertical="top" indent="1"/>
    </xf>
    <xf numFmtId="165" fontId="15" fillId="0" borderId="0" xfId="0" quotePrefix="1" applyFont="1" applyFill="1" applyBorder="1">
      <alignment vertical="top"/>
    </xf>
    <xf numFmtId="165" fontId="37" fillId="0" borderId="0" xfId="0" applyFont="1" applyBorder="1">
      <alignment vertical="top"/>
    </xf>
    <xf numFmtId="165" fontId="36" fillId="0" borderId="0" xfId="0" applyFont="1" applyBorder="1">
      <alignment vertical="top"/>
    </xf>
    <xf numFmtId="165" fontId="0" fillId="0" borderId="0" xfId="0" applyBorder="1">
      <alignment vertical="top"/>
    </xf>
    <xf numFmtId="165" fontId="39" fillId="0" borderId="0" xfId="0" applyFont="1" applyFill="1" applyBorder="1" applyAlignment="1">
      <alignment horizontal="center" vertical="top"/>
    </xf>
    <xf numFmtId="165" fontId="40" fillId="0" borderId="0" xfId="0" applyFont="1" applyFill="1" applyBorder="1" applyAlignment="1">
      <alignment horizontal="center" vertical="top"/>
    </xf>
    <xf numFmtId="165" fontId="15" fillId="0" borderId="0" xfId="0" applyFont="1" applyFill="1" applyBorder="1">
      <alignment vertical="top"/>
    </xf>
    <xf numFmtId="165" fontId="0" fillId="0" borderId="0" xfId="0" applyBorder="1" applyAlignment="1">
      <alignment horizontal="left" vertical="top"/>
    </xf>
    <xf numFmtId="165" fontId="15" fillId="0" borderId="0" xfId="0" quotePrefix="1" applyFont="1" applyFill="1" applyBorder="1" applyAlignment="1">
      <alignment horizontal="left" vertical="top" indent="1"/>
    </xf>
    <xf numFmtId="165" fontId="16" fillId="0" borderId="12" xfId="0" applyFont="1" applyFill="1" applyBorder="1" applyAlignment="1">
      <alignment horizontal="center" vertical="center" wrapText="1"/>
    </xf>
    <xf numFmtId="165" fontId="16" fillId="0" borderId="13" xfId="0" applyFont="1" applyFill="1" applyBorder="1" applyAlignment="1">
      <alignment horizontal="center" vertical="center" wrapText="1"/>
    </xf>
    <xf numFmtId="165" fontId="16" fillId="0" borderId="14" xfId="0" applyFont="1" applyFill="1" applyBorder="1" applyAlignment="1">
      <alignment horizontal="center" vertical="center" wrapText="1"/>
    </xf>
    <xf numFmtId="165" fontId="19" fillId="0" borderId="0" xfId="0" applyFont="1" applyFill="1" applyBorder="1">
      <alignment vertical="top"/>
    </xf>
    <xf numFmtId="165" fontId="17" fillId="0" borderId="16" xfId="0" applyFont="1" applyBorder="1" applyAlignment="1">
      <alignment horizontal="center" vertical="top"/>
    </xf>
    <xf numFmtId="165" fontId="11" fillId="0" borderId="16" xfId="0" applyFont="1" applyBorder="1">
      <alignment vertical="top"/>
    </xf>
    <xf numFmtId="165" fontId="0" fillId="0" borderId="0" xfId="0" applyFill="1">
      <alignment vertical="top"/>
    </xf>
    <xf numFmtId="165" fontId="19" fillId="0" borderId="0" xfId="0" applyFont="1" applyBorder="1" applyAlignment="1">
      <alignment horizontal="center" vertical="top"/>
    </xf>
    <xf numFmtId="165" fontId="17" fillId="0" borderId="1" xfId="0" applyFont="1" applyBorder="1" applyAlignment="1">
      <alignment horizontal="center" vertical="top"/>
    </xf>
    <xf numFmtId="165" fontId="12" fillId="0" borderId="16" xfId="0" applyFont="1" applyBorder="1" applyAlignment="1">
      <alignment horizontal="center" vertical="top"/>
    </xf>
    <xf numFmtId="165" fontId="17" fillId="0" borderId="0" xfId="0" applyFont="1" applyBorder="1" applyAlignment="1">
      <alignment horizontal="center" vertical="top"/>
    </xf>
    <xf numFmtId="165" fontId="21" fillId="0" borderId="0" xfId="0" applyFont="1" applyBorder="1" applyAlignment="1">
      <alignment horizontal="center" vertical="top"/>
    </xf>
    <xf numFmtId="165" fontId="17" fillId="0" borderId="3" xfId="0" applyFont="1" applyBorder="1" applyAlignment="1">
      <alignment horizontal="center" vertical="top"/>
    </xf>
    <xf numFmtId="165" fontId="17" fillId="0" borderId="4" xfId="0" applyFont="1" applyBorder="1" applyAlignment="1">
      <alignment horizontal="center" vertical="top"/>
    </xf>
    <xf numFmtId="165" fontId="11" fillId="0" borderId="16" xfId="0" applyFont="1" applyFill="1" applyBorder="1">
      <alignment vertical="top"/>
    </xf>
    <xf numFmtId="165" fontId="16" fillId="0" borderId="0" xfId="0" applyFont="1" applyFill="1" applyBorder="1" applyProtection="1">
      <alignment vertical="top"/>
      <protection locked="0"/>
    </xf>
    <xf numFmtId="165" fontId="19" fillId="0" borderId="0" xfId="0" applyFont="1" applyFill="1" applyBorder="1" applyAlignment="1" applyProtection="1">
      <alignment horizontal="center" vertical="top"/>
      <protection locked="0"/>
    </xf>
    <xf numFmtId="165" fontId="17" fillId="0" borderId="0" xfId="0" applyFont="1" applyFill="1" applyBorder="1" applyAlignment="1" applyProtection="1">
      <alignment horizontal="center" vertical="top"/>
      <protection locked="0"/>
    </xf>
    <xf numFmtId="165" fontId="16" fillId="0" borderId="17" xfId="0" applyFont="1" applyBorder="1">
      <alignment vertical="top"/>
    </xf>
    <xf numFmtId="165" fontId="16" fillId="0" borderId="18" xfId="0" applyFont="1" applyBorder="1">
      <alignment vertical="top"/>
    </xf>
    <xf numFmtId="165" fontId="19" fillId="0" borderId="18" xfId="0" applyFont="1" applyBorder="1" applyAlignment="1">
      <alignment horizontal="center" vertical="top"/>
    </xf>
    <xf numFmtId="165" fontId="16" fillId="0" borderId="20" xfId="0" applyFont="1" applyBorder="1">
      <alignment vertical="top"/>
    </xf>
    <xf numFmtId="165" fontId="19" fillId="0" borderId="21" xfId="0" applyFont="1" applyBorder="1">
      <alignment vertical="top"/>
    </xf>
    <xf numFmtId="165" fontId="42" fillId="0" borderId="20" xfId="0" applyFont="1" applyBorder="1" applyAlignment="1">
      <alignment horizontal="left" vertical="center" indent="1"/>
    </xf>
    <xf numFmtId="165" fontId="33" fillId="0" borderId="20" xfId="0" applyFont="1" applyBorder="1" applyAlignment="1">
      <alignment horizontal="left" vertical="center" indent="3"/>
    </xf>
    <xf numFmtId="165" fontId="10" fillId="0" borderId="0" xfId="0" applyFont="1" applyBorder="1" applyAlignment="1">
      <alignment vertical="center"/>
    </xf>
    <xf numFmtId="165" fontId="19" fillId="0" borderId="21" xfId="0" applyFont="1" applyBorder="1" applyAlignment="1">
      <alignment horizontal="center" vertical="top"/>
    </xf>
    <xf numFmtId="165" fontId="19" fillId="0" borderId="20" xfId="0" applyFont="1" applyFill="1" applyBorder="1">
      <alignment vertical="top"/>
    </xf>
    <xf numFmtId="165" fontId="17" fillId="0" borderId="21" xfId="0" applyFont="1" applyFill="1" applyBorder="1" applyAlignment="1">
      <alignment horizontal="center" vertical="top"/>
    </xf>
    <xf numFmtId="165" fontId="16" fillId="0" borderId="20" xfId="0" applyFont="1" applyFill="1" applyBorder="1">
      <alignment vertical="top"/>
    </xf>
    <xf numFmtId="165" fontId="17" fillId="0" borderId="21" xfId="0" applyFont="1" applyBorder="1" applyAlignment="1">
      <alignment horizontal="center" vertical="top"/>
    </xf>
    <xf numFmtId="165" fontId="11" fillId="0" borderId="20" xfId="0" applyFont="1" applyFill="1" applyBorder="1">
      <alignment vertical="top"/>
    </xf>
    <xf numFmtId="165" fontId="12" fillId="0" borderId="0" xfId="0" applyFont="1" applyFill="1" applyBorder="1" applyAlignment="1">
      <alignment horizontal="center" vertical="top" wrapText="1"/>
    </xf>
    <xf numFmtId="165" fontId="19" fillId="0" borderId="21" xfId="0" applyFont="1" applyFill="1" applyBorder="1" applyAlignment="1">
      <alignment vertical="top" wrapText="1"/>
    </xf>
    <xf numFmtId="165" fontId="19" fillId="0" borderId="0" xfId="0" applyFont="1" applyFill="1" applyBorder="1" applyAlignment="1">
      <alignment vertical="top" wrapText="1"/>
    </xf>
    <xf numFmtId="165" fontId="21" fillId="0" borderId="0" xfId="0" applyFont="1" applyFill="1" applyBorder="1" applyAlignment="1">
      <alignment vertical="top" wrapText="1"/>
    </xf>
    <xf numFmtId="165" fontId="22" fillId="0" borderId="0" xfId="0" applyFont="1" applyFill="1" applyBorder="1">
      <alignment vertical="top"/>
    </xf>
    <xf numFmtId="166" fontId="16" fillId="0" borderId="0" xfId="2" applyFont="1" applyFill="1" applyBorder="1">
      <alignment vertical="top"/>
    </xf>
    <xf numFmtId="0" fontId="44" fillId="0" borderId="0" xfId="0" applyNumberFormat="1" applyFont="1" applyFill="1" applyBorder="1" applyAlignment="1">
      <alignment horizontal="right" vertical="center"/>
    </xf>
    <xf numFmtId="165" fontId="11" fillId="0" borderId="0" xfId="0" applyFont="1" applyFill="1" applyBorder="1">
      <alignment vertical="top"/>
    </xf>
    <xf numFmtId="165" fontId="24" fillId="0" borderId="0" xfId="0" applyFont="1" applyFill="1" applyBorder="1">
      <alignment vertical="top"/>
    </xf>
    <xf numFmtId="172" fontId="16" fillId="0" borderId="0" xfId="2" applyNumberFormat="1" applyFont="1" applyFill="1" applyBorder="1">
      <alignment vertical="top"/>
    </xf>
    <xf numFmtId="164" fontId="19" fillId="0" borderId="0" xfId="1" applyNumberFormat="1" applyFont="1" applyFill="1" applyBorder="1" applyAlignment="1">
      <alignment horizontal="center"/>
    </xf>
    <xf numFmtId="165" fontId="17" fillId="0" borderId="0" xfId="0" applyFont="1" applyFill="1" applyBorder="1" applyAlignment="1">
      <alignment horizontal="left" vertical="top" wrapText="1"/>
    </xf>
    <xf numFmtId="176" fontId="16" fillId="0" borderId="21" xfId="0" applyNumberFormat="1" applyFont="1" applyFill="1" applyBorder="1">
      <alignment vertical="top"/>
    </xf>
    <xf numFmtId="165" fontId="46" fillId="0" borderId="0" xfId="0" applyFont="1" applyFill="1" applyBorder="1">
      <alignment vertical="top"/>
    </xf>
    <xf numFmtId="165" fontId="16" fillId="0" borderId="21" xfId="0" applyFont="1" applyFill="1" applyBorder="1">
      <alignment vertical="top"/>
    </xf>
    <xf numFmtId="165" fontId="16" fillId="0" borderId="0" xfId="0" applyFont="1" applyFill="1" applyBorder="1" applyAlignment="1">
      <alignment horizontal="left" vertical="top" indent="1"/>
    </xf>
    <xf numFmtId="165" fontId="43" fillId="0" borderId="0" xfId="0" applyFont="1" applyFill="1" applyBorder="1" applyAlignment="1">
      <alignment horizontal="left" vertical="top" indent="1"/>
    </xf>
    <xf numFmtId="164" fontId="19" fillId="0" borderId="0" xfId="1" applyNumberFormat="1" applyFont="1" applyBorder="1" applyAlignment="1">
      <alignment horizontal="center"/>
    </xf>
    <xf numFmtId="165" fontId="28" fillId="0" borderId="20" xfId="0" applyFont="1" applyFill="1" applyBorder="1">
      <alignment vertical="top"/>
    </xf>
    <xf numFmtId="164" fontId="16" fillId="0" borderId="0" xfId="1" applyNumberFormat="1" applyFont="1" applyFill="1" applyBorder="1" applyAlignment="1">
      <alignment horizontal="center"/>
    </xf>
    <xf numFmtId="165" fontId="17" fillId="0" borderId="0" xfId="0" applyFont="1" applyFill="1" applyBorder="1" applyAlignment="1">
      <alignment horizontal="left" vertical="top" indent="1"/>
    </xf>
    <xf numFmtId="164" fontId="16" fillId="0" borderId="0" xfId="1" applyNumberFormat="1" applyFont="1" applyFill="1" applyBorder="1" applyAlignment="1">
      <alignment vertical="top"/>
    </xf>
    <xf numFmtId="43" fontId="16" fillId="0" borderId="0" xfId="1" applyFont="1" applyFill="1" applyBorder="1" applyAlignment="1">
      <alignment vertical="top"/>
    </xf>
    <xf numFmtId="175" fontId="19" fillId="0" borderId="0" xfId="1" applyNumberFormat="1" applyFont="1" applyFill="1" applyBorder="1" applyAlignment="1">
      <alignment horizontal="right"/>
    </xf>
    <xf numFmtId="165" fontId="26" fillId="0" borderId="0" xfId="0" applyFont="1" applyFill="1" applyBorder="1">
      <alignment vertical="top"/>
    </xf>
    <xf numFmtId="1" fontId="16" fillId="0" borderId="0" xfId="1" applyNumberFormat="1" applyFont="1" applyFill="1" applyBorder="1" applyAlignment="1">
      <alignment horizontal="center" vertical="top"/>
    </xf>
    <xf numFmtId="175" fontId="27" fillId="0" borderId="0" xfId="1" applyNumberFormat="1" applyFont="1" applyFill="1" applyBorder="1" applyAlignment="1">
      <alignment horizontal="right"/>
    </xf>
    <xf numFmtId="167" fontId="16" fillId="0" borderId="0" xfId="3" applyFont="1" applyFill="1" applyBorder="1">
      <alignment vertical="top"/>
    </xf>
    <xf numFmtId="171" fontId="19" fillId="0" borderId="0" xfId="3" applyNumberFormat="1" applyFont="1" applyFill="1" applyBorder="1">
      <alignment vertical="top"/>
    </xf>
    <xf numFmtId="165" fontId="19" fillId="0" borderId="0" xfId="0" applyFont="1" applyBorder="1" applyAlignment="1">
      <alignment horizontal="right" vertical="top"/>
    </xf>
    <xf numFmtId="165" fontId="45" fillId="0" borderId="0" xfId="0" applyFont="1" applyFill="1" applyBorder="1">
      <alignment vertical="top"/>
    </xf>
    <xf numFmtId="165" fontId="45" fillId="0" borderId="0" xfId="0" applyFont="1" applyFill="1" applyBorder="1" applyAlignment="1">
      <alignment horizontal="left" vertical="top"/>
    </xf>
    <xf numFmtId="164" fontId="19" fillId="0" borderId="0" xfId="1" applyNumberFormat="1" applyFont="1" applyFill="1" applyBorder="1" applyAlignment="1">
      <alignment horizontal="right"/>
    </xf>
    <xf numFmtId="165" fontId="28" fillId="0" borderId="20" xfId="0" applyFont="1" applyFill="1" applyBorder="1" applyAlignment="1">
      <alignment horizontal="center" vertical="top" wrapText="1"/>
    </xf>
    <xf numFmtId="165" fontId="28" fillId="0" borderId="0" xfId="0" applyFont="1" applyFill="1" applyBorder="1" applyAlignment="1">
      <alignment horizontal="center" vertical="top" wrapText="1"/>
    </xf>
    <xf numFmtId="164" fontId="45" fillId="0" borderId="0" xfId="1" applyNumberFormat="1" applyFont="1" applyFill="1" applyBorder="1" applyAlignment="1">
      <alignment horizontal="center" vertical="top" wrapText="1"/>
    </xf>
    <xf numFmtId="165" fontId="45" fillId="0" borderId="0" xfId="0" applyFont="1" applyFill="1" applyBorder="1" applyAlignment="1">
      <alignment horizontal="center" vertical="top" wrapText="1"/>
    </xf>
    <xf numFmtId="165" fontId="45" fillId="0" borderId="21" xfId="0" applyFont="1" applyFill="1" applyBorder="1" applyAlignment="1">
      <alignment horizontal="center" vertical="top" wrapText="1"/>
    </xf>
    <xf numFmtId="0" fontId="16" fillId="0" borderId="0" xfId="1" applyNumberFormat="1" applyFont="1" applyFill="1" applyBorder="1" applyAlignment="1">
      <alignment horizontal="center"/>
    </xf>
    <xf numFmtId="0" fontId="21" fillId="0" borderId="0" xfId="1" applyNumberFormat="1" applyFont="1" applyFill="1" applyBorder="1" applyAlignment="1">
      <alignment horizontal="center"/>
    </xf>
    <xf numFmtId="3" fontId="16" fillId="0" borderId="21" xfId="0" applyNumberFormat="1" applyFont="1" applyFill="1" applyBorder="1">
      <alignment vertical="top"/>
    </xf>
    <xf numFmtId="1" fontId="16" fillId="0" borderId="0" xfId="1" applyNumberFormat="1" applyFont="1" applyFill="1" applyBorder="1" applyAlignment="1">
      <alignment horizontal="center"/>
    </xf>
    <xf numFmtId="165" fontId="16" fillId="0" borderId="0" xfId="0" applyFont="1" applyFill="1" applyBorder="1" applyAlignment="1">
      <alignment horizontal="left" vertical="top"/>
    </xf>
    <xf numFmtId="165" fontId="16" fillId="0" borderId="0" xfId="0" quotePrefix="1" applyFont="1" applyFill="1" applyBorder="1">
      <alignment vertical="top"/>
    </xf>
    <xf numFmtId="166" fontId="16" fillId="0" borderId="0" xfId="2" quotePrefix="1" applyFont="1" applyFill="1" applyBorder="1">
      <alignment vertical="top"/>
    </xf>
    <xf numFmtId="165" fontId="11"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165" fontId="26" fillId="0" borderId="20" xfId="0" applyFont="1" applyFill="1" applyBorder="1">
      <alignment vertical="top"/>
    </xf>
    <xf numFmtId="165" fontId="17" fillId="0" borderId="0" xfId="0" applyFont="1" applyFill="1" applyBorder="1">
      <alignment vertical="top"/>
    </xf>
    <xf numFmtId="165" fontId="16" fillId="0" borderId="0" xfId="0" applyFont="1" applyFill="1" applyBorder="1" applyAlignment="1">
      <alignment horizontal="left" vertical="top" indent="2"/>
    </xf>
    <xf numFmtId="164" fontId="27" fillId="0" borderId="0" xfId="1" applyNumberFormat="1" applyFont="1" applyFill="1" applyBorder="1" applyAlignment="1">
      <alignment horizontal="right"/>
    </xf>
    <xf numFmtId="165" fontId="16" fillId="0" borderId="0" xfId="0" applyFont="1" applyFill="1" applyBorder="1" applyAlignment="1">
      <alignment horizontal="right" vertical="top"/>
    </xf>
    <xf numFmtId="164" fontId="31" fillId="0" borderId="0" xfId="1" applyNumberFormat="1" applyFont="1" applyFill="1" applyBorder="1" applyAlignment="1">
      <alignment horizontal="right"/>
    </xf>
    <xf numFmtId="176" fontId="16" fillId="0" borderId="0" xfId="0" applyNumberFormat="1" applyFont="1" applyFill="1" applyBorder="1">
      <alignment vertical="top"/>
    </xf>
    <xf numFmtId="166" fontId="25" fillId="0" borderId="0" xfId="2" applyFont="1" applyFill="1" applyBorder="1">
      <alignment vertical="top"/>
    </xf>
    <xf numFmtId="165" fontId="19" fillId="0" borderId="0" xfId="0" applyFont="1" applyFill="1" applyBorder="1" applyAlignment="1">
      <alignment horizontal="left" vertical="top"/>
    </xf>
    <xf numFmtId="165" fontId="0" fillId="0" borderId="21" xfId="0" applyBorder="1">
      <alignment vertical="top"/>
    </xf>
    <xf numFmtId="165" fontId="4" fillId="0" borderId="17" xfId="0" applyFont="1" applyBorder="1">
      <alignment vertical="top"/>
    </xf>
    <xf numFmtId="165" fontId="16" fillId="0" borderId="21" xfId="0" applyFont="1" applyBorder="1">
      <alignment vertical="top"/>
    </xf>
    <xf numFmtId="171" fontId="16" fillId="0" borderId="20" xfId="0" applyNumberFormat="1" applyFont="1" applyBorder="1">
      <alignment vertical="top"/>
    </xf>
    <xf numFmtId="165" fontId="51" fillId="0" borderId="0" xfId="0" applyFont="1" applyBorder="1" applyAlignment="1">
      <alignment horizontal="center" vertical="top"/>
    </xf>
    <xf numFmtId="166" fontId="16" fillId="0" borderId="21" xfId="2" applyFont="1" applyBorder="1">
      <alignment vertical="top"/>
    </xf>
    <xf numFmtId="166" fontId="21" fillId="0" borderId="0" xfId="2" applyFont="1" applyFill="1" applyBorder="1">
      <alignment vertical="top"/>
    </xf>
    <xf numFmtId="165" fontId="21" fillId="0" borderId="0" xfId="0" applyFont="1" applyFill="1" applyBorder="1" applyAlignment="1">
      <alignment horizontal="center" vertical="top"/>
    </xf>
    <xf numFmtId="165" fontId="19" fillId="0" borderId="21" xfId="0" applyFont="1" applyFill="1" applyBorder="1">
      <alignment vertical="top"/>
    </xf>
    <xf numFmtId="165" fontId="16" fillId="0" borderId="26" xfId="0" applyFont="1" applyBorder="1">
      <alignment vertical="top"/>
    </xf>
    <xf numFmtId="165" fontId="12" fillId="0" borderId="0" xfId="0" applyFont="1" applyFill="1" applyBorder="1" applyAlignment="1">
      <alignment horizontal="left" vertical="top" wrapText="1"/>
    </xf>
    <xf numFmtId="165" fontId="12" fillId="0" borderId="21" xfId="0" applyFont="1" applyFill="1" applyBorder="1" applyAlignment="1">
      <alignment horizontal="left" vertical="top" wrapText="1"/>
    </xf>
    <xf numFmtId="165" fontId="11" fillId="0" borderId="21" xfId="0" applyFont="1" applyBorder="1">
      <alignment vertical="top"/>
    </xf>
    <xf numFmtId="165" fontId="25" fillId="0" borderId="21" xfId="0" applyFont="1" applyBorder="1">
      <alignment vertical="top"/>
    </xf>
    <xf numFmtId="174" fontId="17" fillId="0" borderId="0" xfId="0" applyNumberFormat="1" applyFont="1" applyBorder="1" applyAlignment="1">
      <alignment horizontal="center" vertical="top"/>
    </xf>
    <xf numFmtId="165" fontId="23" fillId="0" borderId="21" xfId="0" applyFont="1" applyBorder="1">
      <alignment vertical="top"/>
    </xf>
    <xf numFmtId="176" fontId="16" fillId="0" borderId="21" xfId="0" applyNumberFormat="1" applyFont="1" applyBorder="1">
      <alignment vertical="top"/>
    </xf>
    <xf numFmtId="165" fontId="16" fillId="0" borderId="22" xfId="0" applyFont="1" applyBorder="1">
      <alignment vertical="top"/>
    </xf>
    <xf numFmtId="165" fontId="11" fillId="0" borderId="23" xfId="0" applyFont="1" applyBorder="1">
      <alignment vertical="top"/>
    </xf>
    <xf numFmtId="165" fontId="17" fillId="0" borderId="23" xfId="0" applyFont="1" applyBorder="1" applyAlignment="1">
      <alignment horizontal="center" vertical="top"/>
    </xf>
    <xf numFmtId="165" fontId="0" fillId="3" borderId="0" xfId="0" applyFill="1">
      <alignment vertical="top"/>
    </xf>
    <xf numFmtId="165" fontId="0" fillId="3" borderId="0" xfId="0" applyFill="1" applyAlignment="1">
      <alignment horizontal="center" vertical="top"/>
    </xf>
    <xf numFmtId="165" fontId="37" fillId="3" borderId="0" xfId="0" applyFont="1" applyFill="1">
      <alignment vertical="top"/>
    </xf>
    <xf numFmtId="165" fontId="35" fillId="0" borderId="0" xfId="0" applyFont="1" applyFill="1" applyAlignment="1">
      <alignment horizontal="centerContinuous" vertical="center"/>
    </xf>
    <xf numFmtId="165" fontId="0" fillId="0" borderId="0" xfId="0" applyAlignment="1">
      <alignment horizontal="centerContinuous" vertical="center"/>
    </xf>
    <xf numFmtId="165" fontId="34" fillId="0" borderId="0" xfId="0" applyFont="1" applyAlignment="1">
      <alignment horizontal="centerContinuous" vertical="center"/>
    </xf>
    <xf numFmtId="165" fontId="53" fillId="0" borderId="0" xfId="0" applyFont="1" applyAlignment="1">
      <alignment horizontal="centerContinuous" vertical="center"/>
    </xf>
    <xf numFmtId="0" fontId="54" fillId="0" borderId="0" xfId="15" applyFont="1"/>
    <xf numFmtId="0" fontId="16" fillId="0" borderId="0" xfId="15" applyFont="1"/>
    <xf numFmtId="0" fontId="55" fillId="0" borderId="0" xfId="15" applyFont="1" applyAlignment="1">
      <alignment horizontal="right"/>
    </xf>
    <xf numFmtId="0" fontId="54" fillId="0" borderId="0" xfId="15" applyFont="1" applyAlignment="1">
      <alignment horizontal="left"/>
    </xf>
    <xf numFmtId="165" fontId="54" fillId="0" borderId="0" xfId="17" applyNumberFormat="1" applyFont="1" applyAlignment="1">
      <alignment horizontal="left" vertical="top"/>
    </xf>
    <xf numFmtId="179" fontId="11" fillId="0" borderId="0" xfId="15" applyNumberFormat="1" applyFont="1" applyAlignment="1">
      <alignment horizontal="right" vertical="center"/>
    </xf>
    <xf numFmtId="0" fontId="11" fillId="0" borderId="0" xfId="15" applyFont="1" applyAlignment="1">
      <alignment vertical="center"/>
    </xf>
    <xf numFmtId="165" fontId="58" fillId="0" borderId="0" xfId="0" applyFont="1">
      <alignment vertical="top"/>
    </xf>
    <xf numFmtId="165" fontId="58" fillId="0" borderId="17" xfId="0" applyFont="1" applyBorder="1">
      <alignment vertical="top"/>
    </xf>
    <xf numFmtId="165" fontId="58" fillId="0" borderId="18" xfId="0" applyFont="1" applyBorder="1">
      <alignment vertical="top"/>
    </xf>
    <xf numFmtId="165" fontId="59" fillId="0" borderId="18" xfId="0" applyFont="1" applyBorder="1" applyAlignment="1">
      <alignment horizontal="center" vertical="top"/>
    </xf>
    <xf numFmtId="165" fontId="58" fillId="0" borderId="20" xfId="0" applyFont="1" applyBorder="1">
      <alignment vertical="top"/>
    </xf>
    <xf numFmtId="165" fontId="60" fillId="0" borderId="0" xfId="0" applyFont="1" applyBorder="1">
      <alignment vertical="top"/>
    </xf>
    <xf numFmtId="165" fontId="59" fillId="0" borderId="0" xfId="0" applyFont="1" applyBorder="1" applyAlignment="1">
      <alignment horizontal="center" vertical="top"/>
    </xf>
    <xf numFmtId="165" fontId="60" fillId="0" borderId="21" xfId="0" applyFont="1" applyBorder="1">
      <alignment vertical="top"/>
    </xf>
    <xf numFmtId="165" fontId="58" fillId="0" borderId="0" xfId="0" applyFont="1" applyBorder="1">
      <alignment vertical="top"/>
    </xf>
    <xf numFmtId="165" fontId="61" fillId="0" borderId="0" xfId="0" applyFont="1" applyBorder="1" applyAlignment="1">
      <alignment horizontal="left" vertical="center" indent="1"/>
    </xf>
    <xf numFmtId="165" fontId="62" fillId="0" borderId="0" xfId="0" applyFont="1" applyBorder="1" applyAlignment="1">
      <alignment horizontal="left" vertical="center" indent="1"/>
    </xf>
    <xf numFmtId="0" fontId="55" fillId="0" borderId="18" xfId="15" applyFont="1" applyBorder="1" applyAlignment="1">
      <alignment horizontal="right"/>
    </xf>
    <xf numFmtId="165" fontId="9" fillId="0" borderId="20" xfId="0" applyFont="1" applyBorder="1">
      <alignment vertical="top"/>
    </xf>
    <xf numFmtId="0" fontId="10" fillId="0" borderId="0" xfId="15" applyFont="1" applyAlignment="1">
      <alignment vertical="center"/>
    </xf>
    <xf numFmtId="0" fontId="55" fillId="0" borderId="21" xfId="15" applyFont="1" applyBorder="1" applyAlignment="1">
      <alignment horizontal="right"/>
    </xf>
    <xf numFmtId="0" fontId="10" fillId="0" borderId="20" xfId="15" applyFont="1" applyBorder="1" applyAlignment="1">
      <alignment vertical="center"/>
    </xf>
    <xf numFmtId="0" fontId="18" fillId="0" borderId="20" xfId="15" applyFont="1" applyBorder="1" applyAlignment="1">
      <alignment vertical="center"/>
    </xf>
    <xf numFmtId="0" fontId="56" fillId="0" borderId="0" xfId="15" applyFont="1" applyAlignment="1">
      <alignment vertical="center"/>
    </xf>
    <xf numFmtId="0" fontId="45" fillId="0" borderId="20" xfId="15" applyFont="1" applyBorder="1" applyAlignment="1">
      <alignment vertical="center"/>
    </xf>
    <xf numFmtId="179" fontId="19" fillId="0" borderId="0" xfId="15" applyNumberFormat="1" applyFont="1" applyAlignment="1">
      <alignment horizontal="right" vertical="center"/>
    </xf>
    <xf numFmtId="0" fontId="57" fillId="0" borderId="0" xfId="15" applyFont="1" applyAlignment="1">
      <alignment horizontal="right" vertical="center"/>
    </xf>
    <xf numFmtId="179" fontId="19" fillId="0" borderId="21" xfId="15" applyNumberFormat="1" applyFont="1" applyBorder="1" applyAlignment="1">
      <alignment horizontal="right" vertical="center"/>
    </xf>
    <xf numFmtId="0" fontId="16" fillId="0" borderId="20" xfId="15" applyFont="1" applyBorder="1" applyAlignment="1">
      <alignment vertical="center"/>
    </xf>
    <xf numFmtId="179" fontId="16" fillId="0" borderId="0" xfId="15" applyNumberFormat="1" applyFont="1" applyAlignment="1">
      <alignment horizontal="right" vertical="center"/>
    </xf>
    <xf numFmtId="179" fontId="11" fillId="0" borderId="21" xfId="15" applyNumberFormat="1" applyFont="1" applyBorder="1" applyAlignment="1">
      <alignment horizontal="right" vertical="center"/>
    </xf>
    <xf numFmtId="0" fontId="11" fillId="0" borderId="20" xfId="15" applyFont="1" applyBorder="1" applyAlignment="1">
      <alignment vertical="center"/>
    </xf>
    <xf numFmtId="179" fontId="11" fillId="0" borderId="23" xfId="15" applyNumberFormat="1" applyFont="1" applyBorder="1" applyAlignment="1">
      <alignment horizontal="right" vertical="center"/>
    </xf>
    <xf numFmtId="0" fontId="11" fillId="0" borderId="31" xfId="15" applyFont="1" applyBorder="1" applyAlignment="1">
      <alignment vertical="center"/>
    </xf>
    <xf numFmtId="181" fontId="28" fillId="0" borderId="21" xfId="17" applyNumberFormat="1" applyFont="1" applyBorder="1" applyAlignment="1">
      <alignment horizontal="left" vertical="top"/>
    </xf>
    <xf numFmtId="165" fontId="63" fillId="0" borderId="19" xfId="14" applyFont="1" applyFill="1" applyBorder="1" applyAlignment="1">
      <alignment horizontal="center" vertical="center"/>
    </xf>
    <xf numFmtId="165" fontId="64" fillId="0" borderId="0" xfId="14" quotePrefix="1" applyFont="1" applyFill="1" applyBorder="1" applyAlignment="1">
      <alignment horizontal="left" vertical="top" indent="2"/>
    </xf>
    <xf numFmtId="165" fontId="64" fillId="0" borderId="0" xfId="0" quotePrefix="1" applyFont="1" applyFill="1" applyBorder="1" applyAlignment="1">
      <alignment horizontal="left" vertical="top" indent="2"/>
    </xf>
    <xf numFmtId="165" fontId="64" fillId="0" borderId="0" xfId="0" quotePrefix="1" applyFont="1" applyFill="1" applyBorder="1" applyAlignment="1">
      <alignment horizontal="left" vertical="top" indent="1"/>
    </xf>
    <xf numFmtId="165" fontId="0" fillId="0" borderId="17" xfId="0" applyBorder="1">
      <alignment vertical="top"/>
    </xf>
    <xf numFmtId="165" fontId="0" fillId="0" borderId="18" xfId="0" applyBorder="1">
      <alignment vertical="top"/>
    </xf>
    <xf numFmtId="165" fontId="0" fillId="0" borderId="19" xfId="0" applyBorder="1">
      <alignment vertical="top"/>
    </xf>
    <xf numFmtId="165" fontId="0" fillId="0" borderId="20" xfId="0" applyBorder="1">
      <alignment vertical="top"/>
    </xf>
    <xf numFmtId="165" fontId="0" fillId="0" borderId="22" xfId="0" applyBorder="1">
      <alignment vertical="top"/>
    </xf>
    <xf numFmtId="165" fontId="0" fillId="0" borderId="23" xfId="0" applyBorder="1">
      <alignment vertical="top"/>
    </xf>
    <xf numFmtId="165" fontId="0" fillId="0" borderId="24" xfId="0" applyBorder="1">
      <alignment vertical="top"/>
    </xf>
    <xf numFmtId="0" fontId="54" fillId="0" borderId="18" xfId="15" applyFont="1" applyBorder="1"/>
    <xf numFmtId="0" fontId="16" fillId="0" borderId="18" xfId="15" applyFont="1" applyBorder="1"/>
    <xf numFmtId="0" fontId="16" fillId="0" borderId="19" xfId="15" applyFont="1" applyBorder="1"/>
    <xf numFmtId="0" fontId="16" fillId="0" borderId="21" xfId="15" applyFont="1" applyBorder="1"/>
    <xf numFmtId="179" fontId="16" fillId="0" borderId="21" xfId="15" applyNumberFormat="1" applyFont="1" applyBorder="1" applyAlignment="1">
      <alignment horizontal="right" vertical="center"/>
    </xf>
    <xf numFmtId="0" fontId="28" fillId="0" borderId="20" xfId="15" applyFont="1" applyBorder="1" applyAlignment="1">
      <alignment vertical="center"/>
    </xf>
    <xf numFmtId="0" fontId="11" fillId="0" borderId="20" xfId="15" applyFont="1" applyBorder="1" applyAlignment="1">
      <alignment horizontal="left" vertical="center" indent="1"/>
    </xf>
    <xf numFmtId="0" fontId="16" fillId="0" borderId="20" xfId="15" applyFont="1" applyBorder="1" applyAlignment="1">
      <alignment horizontal="left" vertical="center" indent="1"/>
    </xf>
    <xf numFmtId="180" fontId="11" fillId="0" borderId="0" xfId="16" applyNumberFormat="1" applyFont="1" applyBorder="1" applyAlignment="1">
      <alignment horizontal="right" vertical="center"/>
    </xf>
    <xf numFmtId="37" fontId="51" fillId="0" borderId="0" xfId="15" applyNumberFormat="1" applyFont="1" applyAlignment="1">
      <alignment horizontal="right" vertical="center"/>
    </xf>
    <xf numFmtId="179" fontId="51" fillId="0" borderId="0" xfId="15" applyNumberFormat="1" applyFont="1" applyAlignment="1">
      <alignment horizontal="right" vertical="center"/>
    </xf>
    <xf numFmtId="37" fontId="51" fillId="0" borderId="21" xfId="15" applyNumberFormat="1" applyFont="1" applyBorder="1" applyAlignment="1">
      <alignment horizontal="right" vertical="center"/>
    </xf>
    <xf numFmtId="0" fontId="11" fillId="0" borderId="0" xfId="15" applyFont="1" applyAlignment="1">
      <alignment horizontal="right" vertical="center"/>
    </xf>
    <xf numFmtId="0" fontId="16" fillId="0" borderId="0" xfId="15" applyFont="1" applyAlignment="1">
      <alignment horizontal="right" vertical="center"/>
    </xf>
    <xf numFmtId="0" fontId="16" fillId="0" borderId="21" xfId="15" applyFont="1" applyBorder="1" applyAlignment="1">
      <alignment horizontal="right" vertical="center"/>
    </xf>
    <xf numFmtId="0" fontId="16" fillId="0" borderId="20" xfId="15" applyFont="1" applyBorder="1"/>
    <xf numFmtId="0" fontId="16" fillId="0" borderId="0" xfId="15" applyFont="1" applyAlignment="1">
      <alignment horizontal="right"/>
    </xf>
    <xf numFmtId="0" fontId="16" fillId="0" borderId="21" xfId="15" applyFont="1" applyBorder="1" applyAlignment="1">
      <alignment horizontal="right"/>
    </xf>
    <xf numFmtId="179" fontId="16" fillId="0" borderId="0" xfId="15" applyNumberFormat="1" applyFont="1"/>
    <xf numFmtId="0" fontId="16" fillId="0" borderId="22" xfId="15" applyFont="1" applyBorder="1"/>
    <xf numFmtId="0" fontId="16" fillId="0" borderId="23" xfId="15" applyFont="1" applyBorder="1"/>
    <xf numFmtId="180" fontId="16" fillId="0" borderId="23" xfId="16" applyNumberFormat="1" applyFont="1" applyBorder="1"/>
    <xf numFmtId="0" fontId="16" fillId="0" borderId="24" xfId="15" applyFont="1" applyBorder="1"/>
    <xf numFmtId="0" fontId="54" fillId="0" borderId="0" xfId="18" applyFont="1"/>
    <xf numFmtId="0" fontId="16" fillId="0" borderId="0" xfId="18" applyFont="1"/>
    <xf numFmtId="0" fontId="55" fillId="0" borderId="0" xfId="18" applyFont="1" applyAlignment="1">
      <alignment horizontal="right"/>
    </xf>
    <xf numFmtId="0" fontId="54" fillId="0" borderId="0" xfId="18" applyFont="1" applyAlignment="1">
      <alignment horizontal="left"/>
    </xf>
    <xf numFmtId="0" fontId="16" fillId="0" borderId="0" xfId="18" applyFont="1" applyAlignment="1">
      <alignment vertical="center"/>
    </xf>
    <xf numFmtId="179" fontId="11" fillId="0" borderId="9" xfId="18" applyNumberFormat="1" applyFont="1" applyBorder="1" applyAlignment="1">
      <alignment horizontal="right" vertical="center"/>
    </xf>
    <xf numFmtId="0" fontId="16" fillId="0" borderId="0" xfId="18" applyFont="1" applyAlignment="1">
      <alignment horizontal="right" vertical="center"/>
    </xf>
    <xf numFmtId="0" fontId="16" fillId="0" borderId="0" xfId="18" applyFont="1" applyAlignment="1">
      <alignment horizontal="right"/>
    </xf>
    <xf numFmtId="0" fontId="55" fillId="0" borderId="18" xfId="18" applyFont="1" applyBorder="1" applyAlignment="1">
      <alignment horizontal="right"/>
    </xf>
    <xf numFmtId="0" fontId="55" fillId="0" borderId="19" xfId="18" applyFont="1" applyBorder="1" applyAlignment="1">
      <alignment horizontal="right"/>
    </xf>
    <xf numFmtId="0" fontId="10" fillId="0" borderId="0" xfId="18" applyFont="1" applyAlignment="1">
      <alignment vertical="center"/>
    </xf>
    <xf numFmtId="0" fontId="55" fillId="0" borderId="21" xfId="18" applyFont="1" applyBorder="1" applyAlignment="1">
      <alignment horizontal="right"/>
    </xf>
    <xf numFmtId="0" fontId="10" fillId="0" borderId="20" xfId="18" applyFont="1" applyBorder="1" applyAlignment="1">
      <alignment vertical="center"/>
    </xf>
    <xf numFmtId="0" fontId="18" fillId="0" borderId="20" xfId="18" applyFont="1" applyBorder="1" applyAlignment="1">
      <alignment vertical="center"/>
    </xf>
    <xf numFmtId="0" fontId="44" fillId="0" borderId="0" xfId="18" applyFont="1" applyAlignment="1">
      <alignment horizontal="right" vertical="center"/>
    </xf>
    <xf numFmtId="0" fontId="44" fillId="0" borderId="21" xfId="18" applyFont="1" applyBorder="1" applyAlignment="1">
      <alignment horizontal="right" vertical="center"/>
    </xf>
    <xf numFmtId="0" fontId="45" fillId="0" borderId="20" xfId="18" applyFont="1" applyBorder="1" applyAlignment="1">
      <alignment vertical="center"/>
    </xf>
    <xf numFmtId="179" fontId="19" fillId="0" borderId="0" xfId="18" applyNumberFormat="1" applyFont="1" applyAlignment="1">
      <alignment horizontal="right" vertical="center"/>
    </xf>
    <xf numFmtId="0" fontId="57" fillId="0" borderId="0" xfId="18" applyFont="1" applyAlignment="1">
      <alignment horizontal="right" vertical="center"/>
    </xf>
    <xf numFmtId="179" fontId="19" fillId="0" borderId="21" xfId="18" applyNumberFormat="1" applyFont="1" applyBorder="1" applyAlignment="1">
      <alignment horizontal="right" vertical="center"/>
    </xf>
    <xf numFmtId="0" fontId="16" fillId="0" borderId="20" xfId="18" applyFont="1" applyBorder="1" applyAlignment="1">
      <alignment vertical="center"/>
    </xf>
    <xf numFmtId="179" fontId="16" fillId="0" borderId="0" xfId="18" applyNumberFormat="1" applyFont="1" applyAlignment="1">
      <alignment horizontal="right" vertical="center"/>
    </xf>
    <xf numFmtId="179" fontId="16" fillId="0" borderId="21" xfId="18" applyNumberFormat="1" applyFont="1" applyBorder="1" applyAlignment="1">
      <alignment horizontal="right" vertical="center"/>
    </xf>
    <xf numFmtId="179" fontId="11" fillId="0" borderId="0" xfId="18" applyNumberFormat="1" applyFont="1" applyAlignment="1">
      <alignment horizontal="right" vertical="center"/>
    </xf>
    <xf numFmtId="179" fontId="11" fillId="0" borderId="21" xfId="18" applyNumberFormat="1" applyFont="1" applyBorder="1" applyAlignment="1">
      <alignment horizontal="right" vertical="center"/>
    </xf>
    <xf numFmtId="0" fontId="28" fillId="0" borderId="20" xfId="18" applyFont="1" applyBorder="1" applyAlignment="1">
      <alignment vertical="center"/>
    </xf>
    <xf numFmtId="0" fontId="11" fillId="0" borderId="20" xfId="18" applyFont="1" applyBorder="1" applyAlignment="1">
      <alignment horizontal="left" vertical="center"/>
    </xf>
    <xf numFmtId="0" fontId="11" fillId="0" borderId="33" xfId="18" applyFont="1" applyBorder="1" applyAlignment="1">
      <alignment horizontal="left" vertical="center"/>
    </xf>
    <xf numFmtId="179" fontId="11" fillId="0" borderId="34" xfId="18" applyNumberFormat="1" applyFont="1" applyBorder="1" applyAlignment="1">
      <alignment horizontal="right" vertical="center"/>
    </xf>
    <xf numFmtId="0" fontId="16" fillId="0" borderId="21" xfId="18" applyFont="1" applyBorder="1" applyAlignment="1">
      <alignment horizontal="right" vertical="center"/>
    </xf>
    <xf numFmtId="0" fontId="16" fillId="0" borderId="20" xfId="18" applyFont="1" applyBorder="1"/>
    <xf numFmtId="0" fontId="16" fillId="0" borderId="21" xfId="18" applyFont="1" applyBorder="1"/>
    <xf numFmtId="179" fontId="11" fillId="0" borderId="28" xfId="18" applyNumberFormat="1" applyFont="1" applyBorder="1" applyAlignment="1">
      <alignment horizontal="right" vertical="center"/>
    </xf>
    <xf numFmtId="0" fontId="16" fillId="0" borderId="18" xfId="18" applyFont="1" applyBorder="1"/>
    <xf numFmtId="0" fontId="16" fillId="0" borderId="19" xfId="18" applyFont="1" applyBorder="1"/>
    <xf numFmtId="0" fontId="45" fillId="0" borderId="0" xfId="18" applyFont="1" applyAlignment="1">
      <alignment horizontal="right" vertical="center"/>
    </xf>
    <xf numFmtId="0" fontId="45" fillId="0" borderId="21" xfId="18" applyFont="1" applyBorder="1" applyAlignment="1">
      <alignment horizontal="right" vertical="center"/>
    </xf>
    <xf numFmtId="0" fontId="11" fillId="0" borderId="31" xfId="18" applyFont="1" applyBorder="1" applyAlignment="1">
      <alignment vertical="center"/>
    </xf>
    <xf numFmtId="179" fontId="11" fillId="0" borderId="32" xfId="18" applyNumberFormat="1" applyFont="1" applyBorder="1" applyAlignment="1">
      <alignment horizontal="right" vertical="center"/>
    </xf>
    <xf numFmtId="0" fontId="11" fillId="0" borderId="20" xfId="18" applyFont="1" applyBorder="1" applyAlignment="1">
      <alignment vertical="center"/>
    </xf>
    <xf numFmtId="0" fontId="17" fillId="0" borderId="20" xfId="18" applyFont="1" applyBorder="1" applyAlignment="1">
      <alignment vertical="center"/>
    </xf>
    <xf numFmtId="37" fontId="51" fillId="0" borderId="0" xfId="18" applyNumberFormat="1" applyFont="1" applyAlignment="1">
      <alignment horizontal="right" vertical="center"/>
    </xf>
    <xf numFmtId="179" fontId="51" fillId="0" borderId="0" xfId="18" applyNumberFormat="1" applyFont="1" applyAlignment="1">
      <alignment horizontal="right" vertical="center"/>
    </xf>
    <xf numFmtId="37" fontId="51" fillId="0" borderId="21" xfId="18" applyNumberFormat="1" applyFont="1" applyBorder="1" applyAlignment="1">
      <alignment horizontal="right" vertical="center"/>
    </xf>
    <xf numFmtId="0" fontId="16" fillId="0" borderId="20" xfId="18" applyFont="1" applyBorder="1" applyAlignment="1">
      <alignment horizontal="left" vertical="center" indent="1"/>
    </xf>
    <xf numFmtId="0" fontId="11" fillId="0" borderId="22" xfId="18" applyFont="1" applyBorder="1" applyAlignment="1">
      <alignment vertical="center"/>
    </xf>
    <xf numFmtId="0" fontId="16" fillId="0" borderId="23" xfId="18" applyFont="1" applyBorder="1" applyAlignment="1">
      <alignment horizontal="right"/>
    </xf>
    <xf numFmtId="0" fontId="16" fillId="0" borderId="24" xfId="18" applyFont="1" applyBorder="1" applyAlignment="1">
      <alignment horizontal="right"/>
    </xf>
    <xf numFmtId="165" fontId="16" fillId="0" borderId="0" xfId="0" applyFont="1" applyAlignment="1">
      <alignment vertical="top" wrapText="1"/>
    </xf>
    <xf numFmtId="165" fontId="58" fillId="0" borderId="18" xfId="0" applyFont="1" applyBorder="1" applyAlignment="1">
      <alignment vertical="top" wrapText="1"/>
    </xf>
    <xf numFmtId="165" fontId="60" fillId="0" borderId="0" xfId="0" applyFont="1" applyBorder="1" applyAlignment="1">
      <alignment vertical="top" wrapText="1"/>
    </xf>
    <xf numFmtId="165" fontId="16" fillId="0" borderId="0" xfId="0" applyFont="1" applyBorder="1" applyAlignment="1">
      <alignment vertical="top" wrapText="1"/>
    </xf>
    <xf numFmtId="165" fontId="11" fillId="0" borderId="1" xfId="0" applyFont="1" applyBorder="1" applyAlignment="1">
      <alignment vertical="top" wrapText="1"/>
    </xf>
    <xf numFmtId="165" fontId="47" fillId="0" borderId="16" xfId="0" applyFont="1" applyFill="1" applyBorder="1" applyAlignment="1">
      <alignment vertical="top" wrapText="1"/>
    </xf>
    <xf numFmtId="165" fontId="23" fillId="0" borderId="0" xfId="0" applyFont="1" applyBorder="1" applyAlignment="1">
      <alignment vertical="top" wrapText="1"/>
    </xf>
    <xf numFmtId="165" fontId="19" fillId="0" borderId="16" xfId="0" applyFont="1" applyFill="1" applyBorder="1" applyAlignment="1">
      <alignment vertical="top" wrapText="1"/>
    </xf>
    <xf numFmtId="165" fontId="16" fillId="0" borderId="1" xfId="0" applyFont="1" applyBorder="1" applyAlignment="1">
      <alignment vertical="top" wrapText="1"/>
    </xf>
    <xf numFmtId="165" fontId="24" fillId="0" borderId="0" xfId="0" applyFont="1" applyFill="1" applyBorder="1" applyAlignment="1">
      <alignment vertical="top" wrapText="1"/>
    </xf>
    <xf numFmtId="165" fontId="11" fillId="0" borderId="16" xfId="0" applyFont="1" applyBorder="1" applyAlignment="1">
      <alignment vertical="top" wrapText="1"/>
    </xf>
    <xf numFmtId="165" fontId="19" fillId="0" borderId="0" xfId="0" applyFont="1" applyBorder="1" applyAlignment="1">
      <alignment vertical="top" wrapText="1"/>
    </xf>
    <xf numFmtId="165" fontId="11" fillId="0" borderId="0" xfId="0" applyFont="1" applyBorder="1" applyAlignment="1">
      <alignment vertical="top" wrapText="1"/>
    </xf>
    <xf numFmtId="165" fontId="19" fillId="0" borderId="1" xfId="0" applyFont="1" applyBorder="1" applyAlignment="1">
      <alignment vertical="top" wrapText="1"/>
    </xf>
    <xf numFmtId="165" fontId="17" fillId="0" borderId="20" xfId="0" applyFont="1" applyBorder="1" applyAlignment="1">
      <alignment horizontal="centerContinuous" vertical="center" wrapText="1"/>
    </xf>
    <xf numFmtId="165" fontId="17" fillId="0" borderId="0" xfId="0" applyFont="1" applyBorder="1" applyAlignment="1">
      <alignment horizontal="centerContinuous" vertical="center" wrapText="1"/>
    </xf>
    <xf numFmtId="165" fontId="17" fillId="0" borderId="21" xfId="0" applyFont="1" applyBorder="1" applyAlignment="1">
      <alignment horizontal="centerContinuous" vertical="center" wrapText="1"/>
    </xf>
    <xf numFmtId="165" fontId="12" fillId="2" borderId="0" xfId="0" applyFont="1" applyFill="1" applyBorder="1" applyAlignment="1">
      <alignment horizontal="centerContinuous" vertical="center" wrapText="1"/>
    </xf>
    <xf numFmtId="165" fontId="12" fillId="2" borderId="21" xfId="0" applyFont="1" applyFill="1" applyBorder="1" applyAlignment="1">
      <alignment horizontal="centerContinuous" vertical="center" wrapText="1"/>
    </xf>
    <xf numFmtId="165" fontId="49" fillId="2" borderId="0" xfId="0" applyFont="1" applyFill="1" applyBorder="1" applyAlignment="1">
      <alignment horizontal="centerContinuous" vertical="center" wrapText="1"/>
    </xf>
    <xf numFmtId="165" fontId="49" fillId="2" borderId="21" xfId="0" applyFont="1" applyFill="1" applyBorder="1" applyAlignment="1">
      <alignment horizontal="centerContinuous" vertical="center" wrapText="1"/>
    </xf>
    <xf numFmtId="165" fontId="59" fillId="0" borderId="19" xfId="0" applyFont="1" applyBorder="1" applyAlignment="1">
      <alignment horizontal="center" vertical="top"/>
    </xf>
    <xf numFmtId="165" fontId="19" fillId="0" borderId="20" xfId="0" applyFont="1" applyFill="1" applyBorder="1" applyAlignment="1">
      <alignment horizontal="left" vertical="top"/>
    </xf>
    <xf numFmtId="39" fontId="11" fillId="0" borderId="23" xfId="15" applyNumberFormat="1" applyFont="1" applyBorder="1" applyAlignment="1">
      <alignment horizontal="right" vertical="center"/>
    </xf>
    <xf numFmtId="39" fontId="11" fillId="0" borderId="24" xfId="15" applyNumberFormat="1" applyFont="1" applyBorder="1" applyAlignment="1">
      <alignment horizontal="right" vertical="center"/>
    </xf>
    <xf numFmtId="0" fontId="19" fillId="0" borderId="0" xfId="15" applyFont="1" applyAlignment="1">
      <alignment vertical="center"/>
    </xf>
    <xf numFmtId="181" fontId="28" fillId="0" borderId="0" xfId="17" applyNumberFormat="1" applyFont="1" applyAlignment="1">
      <alignment horizontal="left" vertical="top"/>
    </xf>
    <xf numFmtId="179" fontId="11" fillId="0" borderId="20" xfId="15" applyNumberFormat="1" applyFont="1" applyBorder="1" applyAlignment="1">
      <alignment horizontal="right" vertical="center"/>
    </xf>
    <xf numFmtId="0" fontId="45" fillId="0" borderId="22" xfId="15" applyFont="1" applyBorder="1" applyAlignment="1">
      <alignment vertical="center"/>
    </xf>
    <xf numFmtId="0" fontId="11" fillId="0" borderId="35" xfId="15" applyFont="1" applyBorder="1" applyAlignment="1">
      <alignment vertical="center"/>
    </xf>
    <xf numFmtId="182" fontId="11" fillId="0" borderId="36" xfId="15" applyNumberFormat="1" applyFont="1" applyBorder="1" applyAlignment="1">
      <alignment horizontal="right" vertical="center"/>
    </xf>
    <xf numFmtId="182" fontId="11" fillId="0" borderId="37" xfId="15" applyNumberFormat="1" applyFont="1" applyBorder="1" applyAlignment="1">
      <alignment horizontal="right" vertical="center"/>
    </xf>
    <xf numFmtId="182" fontId="11" fillId="0" borderId="39" xfId="15" applyNumberFormat="1" applyFont="1" applyBorder="1" applyAlignment="1">
      <alignment horizontal="right" vertical="center"/>
    </xf>
    <xf numFmtId="182" fontId="11" fillId="0" borderId="38" xfId="15" applyNumberFormat="1" applyFont="1" applyBorder="1" applyAlignment="1">
      <alignment horizontal="right" vertical="center"/>
    </xf>
    <xf numFmtId="0" fontId="11" fillId="0" borderId="40" xfId="15" applyFont="1" applyBorder="1" applyAlignment="1">
      <alignment vertical="center"/>
    </xf>
    <xf numFmtId="165" fontId="17" fillId="0" borderId="20" xfId="0" applyFont="1" applyFill="1" applyBorder="1">
      <alignment vertical="top"/>
    </xf>
    <xf numFmtId="0" fontId="45" fillId="0" borderId="0" xfId="15" applyFont="1" applyAlignment="1">
      <alignment vertical="center"/>
    </xf>
    <xf numFmtId="39" fontId="11" fillId="0" borderId="0" xfId="15" applyNumberFormat="1" applyFont="1" applyAlignment="1">
      <alignment horizontal="right" vertical="center"/>
    </xf>
    <xf numFmtId="165" fontId="16" fillId="0" borderId="0" xfId="0" applyFont="1" applyAlignment="1"/>
    <xf numFmtId="0" fontId="11" fillId="0" borderId="0" xfId="18" applyFont="1" applyAlignment="1">
      <alignment vertical="center"/>
    </xf>
    <xf numFmtId="0" fontId="11" fillId="0" borderId="0" xfId="18" applyFont="1" applyAlignment="1">
      <alignment horizontal="right" vertical="center"/>
    </xf>
    <xf numFmtId="0" fontId="16" fillId="0" borderId="22" xfId="18" applyFont="1" applyBorder="1" applyAlignment="1">
      <alignment vertical="center"/>
    </xf>
    <xf numFmtId="172" fontId="11" fillId="0" borderId="10" xfId="2" applyNumberFormat="1" applyFont="1" applyFill="1" applyBorder="1" applyAlignment="1" applyProtection="1">
      <alignment horizontal="center" vertical="top"/>
      <protection locked="0"/>
    </xf>
    <xf numFmtId="164" fontId="11" fillId="0" borderId="6" xfId="1" applyNumberFormat="1" applyFont="1" applyFill="1" applyBorder="1" applyAlignment="1" applyProtection="1">
      <alignment horizontal="center"/>
      <protection locked="0"/>
    </xf>
    <xf numFmtId="164" fontId="16" fillId="0" borderId="8" xfId="1" applyNumberFormat="1" applyFont="1" applyFill="1" applyBorder="1" applyAlignment="1" applyProtection="1">
      <alignment horizontal="center"/>
      <protection locked="0"/>
    </xf>
    <xf numFmtId="164" fontId="16" fillId="0" borderId="7" xfId="1" applyNumberFormat="1" applyFont="1" applyFill="1" applyBorder="1" applyAlignment="1" applyProtection="1">
      <alignment horizontal="center"/>
      <protection locked="0"/>
    </xf>
    <xf numFmtId="164" fontId="11" fillId="0" borderId="8" xfId="1" applyNumberFormat="1" applyFont="1" applyFill="1" applyBorder="1" applyAlignment="1" applyProtection="1">
      <alignment horizontal="center"/>
      <protection locked="0"/>
    </xf>
    <xf numFmtId="164" fontId="11" fillId="0" borderId="7" xfId="1" applyNumberFormat="1" applyFont="1" applyFill="1" applyBorder="1" applyAlignment="1" applyProtection="1">
      <alignment horizontal="center"/>
      <protection locked="0"/>
    </xf>
    <xf numFmtId="3" fontId="45" fillId="0" borderId="10" xfId="1" applyNumberFormat="1" applyFont="1" applyFill="1" applyBorder="1" applyAlignment="1" applyProtection="1">
      <alignment horizontal="right" vertical="top"/>
      <protection locked="0"/>
    </xf>
    <xf numFmtId="3" fontId="45" fillId="0" borderId="10" xfId="0" applyNumberFormat="1" applyFont="1" applyFill="1" applyBorder="1" applyAlignment="1" applyProtection="1">
      <alignment horizontal="right" vertical="top"/>
      <protection locked="0"/>
    </xf>
    <xf numFmtId="175" fontId="28" fillId="0" borderId="6" xfId="1" applyNumberFormat="1" applyFont="1" applyFill="1" applyBorder="1" applyAlignment="1" applyProtection="1">
      <alignment horizontal="right"/>
      <protection locked="0"/>
    </xf>
    <xf numFmtId="175" fontId="16" fillId="0" borderId="7" xfId="1" applyNumberFormat="1" applyFont="1" applyFill="1" applyBorder="1" applyAlignment="1" applyProtection="1">
      <alignment horizontal="right"/>
      <protection locked="0"/>
    </xf>
    <xf numFmtId="175" fontId="11" fillId="0" borderId="6" xfId="1" applyNumberFormat="1" applyFont="1" applyFill="1" applyBorder="1" applyAlignment="1" applyProtection="1">
      <alignment horizontal="right"/>
      <protection locked="0"/>
    </xf>
    <xf numFmtId="175" fontId="28" fillId="0" borderId="7"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center"/>
      <protection locked="0"/>
    </xf>
    <xf numFmtId="164" fontId="11" fillId="0" borderId="0" xfId="1" applyNumberFormat="1" applyFont="1" applyFill="1" applyBorder="1" applyAlignment="1" applyProtection="1">
      <alignment horizontal="right"/>
      <protection locked="0"/>
    </xf>
    <xf numFmtId="0" fontId="21" fillId="0" borderId="0" xfId="1" applyNumberFormat="1" applyFont="1" applyFill="1" applyBorder="1" applyAlignment="1" applyProtection="1">
      <alignment horizontal="center"/>
      <protection locked="0"/>
    </xf>
    <xf numFmtId="3" fontId="19" fillId="0" borderId="5" xfId="0" applyNumberFormat="1" applyFont="1" applyFill="1" applyBorder="1" applyAlignment="1" applyProtection="1">
      <alignment horizontal="center" vertical="top"/>
      <protection locked="0"/>
    </xf>
    <xf numFmtId="3" fontId="19" fillId="0" borderId="15" xfId="0" applyNumberFormat="1" applyFont="1" applyFill="1" applyBorder="1" applyAlignment="1" applyProtection="1">
      <alignment horizontal="center" vertical="top"/>
      <protection locked="0"/>
    </xf>
    <xf numFmtId="173" fontId="16" fillId="0" borderId="0" xfId="1" applyNumberFormat="1" applyFont="1" applyFill="1" applyBorder="1" applyAlignment="1" applyProtection="1">
      <alignment horizontal="center"/>
      <protection locked="0"/>
    </xf>
    <xf numFmtId="3" fontId="19" fillId="0" borderId="10" xfId="0" applyNumberFormat="1" applyFont="1" applyFill="1" applyBorder="1" applyAlignment="1" applyProtection="1">
      <alignment horizontal="center" vertical="top"/>
      <protection locked="0"/>
    </xf>
    <xf numFmtId="164" fontId="11" fillId="0" borderId="5" xfId="1" applyNumberFormat="1" applyFont="1" applyFill="1" applyBorder="1" applyAlignment="1" applyProtection="1">
      <alignment horizontal="right"/>
      <protection locked="0"/>
    </xf>
    <xf numFmtId="165" fontId="45" fillId="0" borderId="0" xfId="0" applyFont="1" applyFill="1" applyBorder="1" applyAlignment="1" applyProtection="1">
      <alignment horizontal="right" vertical="top"/>
      <protection locked="0"/>
    </xf>
    <xf numFmtId="165" fontId="11" fillId="0" borderId="5" xfId="0" applyFont="1" applyFill="1" applyBorder="1" applyAlignment="1" applyProtection="1">
      <alignment horizontal="right" vertical="top"/>
      <protection locked="0"/>
    </xf>
    <xf numFmtId="165" fontId="16" fillId="0" borderId="6" xfId="0" applyFont="1" applyFill="1" applyBorder="1" applyAlignment="1" applyProtection="1">
      <alignment horizontal="right" vertical="top"/>
      <protection locked="0"/>
    </xf>
    <xf numFmtId="165" fontId="16" fillId="0" borderId="8" xfId="0" applyFont="1" applyFill="1" applyBorder="1" applyAlignment="1" applyProtection="1">
      <alignment horizontal="right" vertical="top"/>
      <protection locked="0"/>
    </xf>
    <xf numFmtId="165" fontId="16" fillId="0" borderId="7" xfId="0" applyFont="1" applyFill="1" applyBorder="1" applyAlignment="1" applyProtection="1">
      <alignment horizontal="right" vertical="top"/>
      <protection locked="0"/>
    </xf>
    <xf numFmtId="164" fontId="11" fillId="0" borderId="10" xfId="1" applyNumberFormat="1" applyFont="1" applyFill="1" applyBorder="1" applyAlignment="1" applyProtection="1">
      <alignment horizontal="right"/>
      <protection locked="0"/>
    </xf>
    <xf numFmtId="164" fontId="11" fillId="0" borderId="7" xfId="1" applyNumberFormat="1" applyFont="1" applyFill="1" applyBorder="1" applyAlignment="1" applyProtection="1">
      <alignment horizontal="right"/>
      <protection locked="0"/>
    </xf>
    <xf numFmtId="177" fontId="16" fillId="0" borderId="0" xfId="2" applyNumberFormat="1" applyFont="1" applyFill="1" applyBorder="1" applyAlignment="1" applyProtection="1">
      <alignment horizontal="right" vertical="top"/>
      <protection locked="0"/>
    </xf>
    <xf numFmtId="165" fontId="16" fillId="0" borderId="0" xfId="0" applyFont="1" applyFill="1" applyBorder="1" applyAlignment="1" applyProtection="1">
      <alignment horizontal="right" vertical="top"/>
      <protection locked="0"/>
    </xf>
    <xf numFmtId="164" fontId="45" fillId="0" borderId="5" xfId="1" applyNumberFormat="1" applyFont="1" applyFill="1" applyBorder="1" applyAlignment="1" applyProtection="1">
      <alignment horizontal="right"/>
      <protection locked="0"/>
    </xf>
    <xf numFmtId="164" fontId="16" fillId="0" borderId="0" xfId="1" applyNumberFormat="1" applyFont="1" applyFill="1" applyBorder="1" applyAlignment="1" applyProtection="1">
      <alignment horizontal="right"/>
      <protection locked="0"/>
    </xf>
    <xf numFmtId="164" fontId="43" fillId="0" borderId="0"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right"/>
      <protection locked="0"/>
    </xf>
    <xf numFmtId="166" fontId="16" fillId="0" borderId="21" xfId="2" applyFont="1" applyBorder="1" applyProtection="1">
      <alignment vertical="top"/>
      <protection locked="0"/>
    </xf>
    <xf numFmtId="165" fontId="16" fillId="0" borderId="21" xfId="0" applyFont="1" applyBorder="1" applyProtection="1">
      <alignment vertical="top"/>
      <protection locked="0"/>
    </xf>
    <xf numFmtId="165" fontId="48" fillId="0" borderId="21" xfId="0" applyFont="1" applyBorder="1" applyProtection="1">
      <alignment vertical="top"/>
      <protection locked="0"/>
    </xf>
    <xf numFmtId="165" fontId="16" fillId="0" borderId="21" xfId="0" applyFont="1" applyFill="1" applyBorder="1" applyProtection="1">
      <alignment vertical="top"/>
      <protection locked="0"/>
    </xf>
    <xf numFmtId="165" fontId="11" fillId="0" borderId="25" xfId="0" applyFont="1" applyFill="1" applyBorder="1" applyProtection="1">
      <alignment vertical="top"/>
      <protection locked="0"/>
    </xf>
    <xf numFmtId="165" fontId="28" fillId="0" borderId="21" xfId="0" applyFont="1" applyBorder="1" applyProtection="1">
      <alignment vertical="top"/>
      <protection locked="0"/>
    </xf>
    <xf numFmtId="165" fontId="43" fillId="0" borderId="21" xfId="0" applyFont="1" applyFill="1" applyBorder="1" applyProtection="1">
      <alignment vertical="top"/>
      <protection locked="0"/>
    </xf>
    <xf numFmtId="165" fontId="11" fillId="0" borderId="25" xfId="0" applyFont="1" applyBorder="1" applyProtection="1">
      <alignment vertical="top"/>
      <protection locked="0"/>
    </xf>
    <xf numFmtId="165" fontId="28" fillId="0" borderId="21" xfId="0" applyFont="1" applyFill="1" applyBorder="1" applyProtection="1">
      <alignment vertical="top"/>
      <protection locked="0"/>
    </xf>
    <xf numFmtId="171" fontId="16" fillId="0" borderId="21" xfId="0" applyNumberFormat="1" applyFont="1" applyFill="1" applyBorder="1" applyProtection="1">
      <alignment vertical="top"/>
      <protection locked="0"/>
    </xf>
    <xf numFmtId="171" fontId="16" fillId="0" borderId="21" xfId="0" applyNumberFormat="1" applyFont="1" applyBorder="1" applyProtection="1">
      <alignment vertical="top"/>
      <protection locked="0"/>
    </xf>
    <xf numFmtId="177" fontId="16" fillId="0" borderId="21" xfId="2" applyNumberFormat="1" applyFont="1" applyBorder="1" applyProtection="1">
      <alignment vertical="top"/>
      <protection locked="0"/>
    </xf>
    <xf numFmtId="165" fontId="11" fillId="0" borderId="26" xfId="0" applyFont="1" applyBorder="1" applyProtection="1">
      <alignment vertical="top"/>
      <protection locked="0"/>
    </xf>
    <xf numFmtId="165" fontId="11" fillId="0" borderId="21" xfId="0" applyFont="1" applyBorder="1" applyProtection="1">
      <alignment vertical="top"/>
      <protection locked="0"/>
    </xf>
    <xf numFmtId="165" fontId="16" fillId="0" borderId="24" xfId="0" applyFont="1" applyBorder="1" applyProtection="1">
      <alignment vertical="top"/>
      <protection locked="0"/>
    </xf>
    <xf numFmtId="165" fontId="67" fillId="0" borderId="0" xfId="0" applyFont="1" applyAlignment="1">
      <alignment horizontal="left" vertical="center"/>
    </xf>
    <xf numFmtId="165" fontId="68" fillId="0" borderId="0" xfId="0" applyFont="1" applyAlignment="1">
      <alignment horizontal="left" vertical="center"/>
    </xf>
    <xf numFmtId="165" fontId="69" fillId="0" borderId="20" xfId="0" applyFont="1" applyBorder="1" applyAlignment="1">
      <alignment horizontal="left" vertical="center" indent="1"/>
    </xf>
    <xf numFmtId="165" fontId="70" fillId="0" borderId="20" xfId="0" applyFont="1" applyBorder="1" applyAlignment="1">
      <alignment horizontal="left" vertical="center" indent="1"/>
    </xf>
    <xf numFmtId="165" fontId="14" fillId="4" borderId="20" xfId="0" applyFont="1" applyFill="1" applyBorder="1">
      <alignment vertical="top"/>
    </xf>
    <xf numFmtId="165" fontId="16" fillId="4" borderId="0" xfId="0" applyFont="1" applyFill="1" applyBorder="1">
      <alignment vertical="top"/>
    </xf>
    <xf numFmtId="165" fontId="19" fillId="4" borderId="0" xfId="0" applyFont="1" applyFill="1" applyBorder="1" applyAlignment="1">
      <alignment horizontal="center" vertical="top"/>
    </xf>
    <xf numFmtId="165" fontId="17" fillId="4" borderId="21" xfId="0" applyFont="1" applyFill="1" applyBorder="1" applyAlignment="1">
      <alignment horizontal="center" vertical="top"/>
    </xf>
    <xf numFmtId="165" fontId="29" fillId="4" borderId="0" xfId="0" applyFont="1" applyFill="1" applyBorder="1">
      <alignment vertical="top"/>
    </xf>
    <xf numFmtId="164" fontId="20" fillId="4" borderId="0" xfId="1" applyNumberFormat="1" applyFont="1" applyFill="1" applyBorder="1" applyAlignment="1">
      <alignment horizontal="center"/>
    </xf>
    <xf numFmtId="165" fontId="30" fillId="4" borderId="21" xfId="0" applyFont="1" applyFill="1" applyBorder="1" applyAlignment="1">
      <alignment horizontal="center" vertical="top"/>
    </xf>
    <xf numFmtId="164" fontId="19" fillId="4" borderId="0" xfId="1" applyNumberFormat="1" applyFont="1" applyFill="1" applyBorder="1" applyAlignment="1">
      <alignment horizontal="center"/>
    </xf>
    <xf numFmtId="165" fontId="20" fillId="4" borderId="20" xfId="0" applyFont="1" applyFill="1" applyBorder="1">
      <alignment vertical="top"/>
    </xf>
    <xf numFmtId="164" fontId="20" fillId="4" borderId="0" xfId="1" applyNumberFormat="1" applyFont="1" applyFill="1" applyBorder="1" applyAlignment="1">
      <alignment horizontal="right"/>
    </xf>
    <xf numFmtId="165" fontId="13" fillId="4" borderId="20" xfId="0" applyFont="1" applyFill="1" applyBorder="1">
      <alignment vertical="top"/>
    </xf>
    <xf numFmtId="165" fontId="20" fillId="4" borderId="0" xfId="0" applyFont="1" applyFill="1" applyBorder="1" applyAlignment="1">
      <alignment horizontal="right" vertical="top"/>
    </xf>
    <xf numFmtId="165" fontId="71" fillId="0" borderId="0" xfId="0" applyFont="1" applyFill="1" applyBorder="1">
      <alignment vertical="top"/>
    </xf>
    <xf numFmtId="3" fontId="71" fillId="0" borderId="14" xfId="1" applyNumberFormat="1" applyFont="1" applyFill="1" applyBorder="1" applyAlignment="1" applyProtection="1">
      <alignment horizontal="right" vertical="top"/>
    </xf>
    <xf numFmtId="3" fontId="71" fillId="0" borderId="13" xfId="1" applyNumberFormat="1" applyFont="1" applyFill="1" applyBorder="1" applyAlignment="1" applyProtection="1">
      <alignment horizontal="right" vertical="top"/>
    </xf>
    <xf numFmtId="164" fontId="71" fillId="0" borderId="0" xfId="1" applyNumberFormat="1" applyFont="1" applyFill="1" applyBorder="1" applyAlignment="1" applyProtection="1">
      <alignment horizontal="right"/>
    </xf>
    <xf numFmtId="178" fontId="72" fillId="0" borderId="7" xfId="1" applyNumberFormat="1" applyFont="1" applyFill="1" applyBorder="1" applyAlignment="1" applyProtection="1">
      <alignment horizontal="right"/>
    </xf>
    <xf numFmtId="175" fontId="71" fillId="0" borderId="6" xfId="1" applyNumberFormat="1" applyFont="1" applyFill="1" applyBorder="1" applyAlignment="1" applyProtection="1">
      <alignment horizontal="right"/>
    </xf>
    <xf numFmtId="175" fontId="71" fillId="0" borderId="7" xfId="1" applyNumberFormat="1" applyFont="1" applyFill="1" applyBorder="1" applyAlignment="1" applyProtection="1">
      <alignment horizontal="right"/>
    </xf>
    <xf numFmtId="175" fontId="73" fillId="0" borderId="0" xfId="1" applyNumberFormat="1" applyFont="1" applyFill="1" applyBorder="1" applyAlignment="1" applyProtection="1">
      <alignment horizontal="right"/>
    </xf>
    <xf numFmtId="164" fontId="71" fillId="0" borderId="6" xfId="1" applyNumberFormat="1" applyFont="1" applyFill="1" applyBorder="1" applyAlignment="1" applyProtection="1">
      <alignment horizontal="center"/>
    </xf>
    <xf numFmtId="164" fontId="71" fillId="0" borderId="8" xfId="1" applyNumberFormat="1" applyFont="1" applyFill="1" applyBorder="1" applyAlignment="1" applyProtection="1">
      <alignment horizontal="center"/>
    </xf>
    <xf numFmtId="164" fontId="71" fillId="0" borderId="7" xfId="1" applyNumberFormat="1" applyFont="1" applyFill="1" applyBorder="1" applyAlignment="1" applyProtection="1">
      <alignment horizontal="center"/>
    </xf>
    <xf numFmtId="165" fontId="71" fillId="0" borderId="0" xfId="3" applyNumberFormat="1" applyFont="1" applyFill="1" applyBorder="1" applyAlignment="1" applyProtection="1">
      <alignment horizontal="right" vertical="top"/>
    </xf>
    <xf numFmtId="165" fontId="71" fillId="0" borderId="0" xfId="3" applyNumberFormat="1" applyFont="1" applyFill="1" applyBorder="1" applyProtection="1">
      <alignment vertical="top"/>
    </xf>
    <xf numFmtId="165" fontId="72" fillId="0" borderId="2" xfId="3" applyNumberFormat="1" applyFont="1" applyFill="1" applyBorder="1" applyProtection="1">
      <alignment vertical="top"/>
    </xf>
    <xf numFmtId="173" fontId="74" fillId="0" borderId="0" xfId="1" applyNumberFormat="1" applyFont="1" applyFill="1" applyBorder="1" applyAlignment="1" applyProtection="1">
      <alignment horizontal="center"/>
    </xf>
    <xf numFmtId="3" fontId="71" fillId="0" borderId="6" xfId="0" applyNumberFormat="1" applyFont="1" applyFill="1" applyBorder="1" applyAlignment="1" applyProtection="1">
      <alignment horizontal="center" vertical="top"/>
    </xf>
    <xf numFmtId="3" fontId="71" fillId="0" borderId="8" xfId="0" applyNumberFormat="1" applyFont="1" applyFill="1" applyBorder="1" applyAlignment="1" applyProtection="1">
      <alignment horizontal="center" vertical="top"/>
    </xf>
    <xf numFmtId="164" fontId="71" fillId="0" borderId="6" xfId="1" applyNumberFormat="1" applyFont="1" applyFill="1" applyBorder="1" applyAlignment="1" applyProtection="1">
      <alignment horizontal="right"/>
    </xf>
    <xf numFmtId="165" fontId="71" fillId="0" borderId="6" xfId="0" applyFont="1" applyFill="1" applyBorder="1" applyAlignment="1" applyProtection="1">
      <alignment horizontal="right" vertical="top"/>
    </xf>
    <xf numFmtId="165" fontId="71" fillId="0" borderId="8" xfId="0" applyFont="1" applyFill="1" applyBorder="1" applyAlignment="1" applyProtection="1">
      <alignment horizontal="right" vertical="top"/>
    </xf>
    <xf numFmtId="165" fontId="71" fillId="0" borderId="0" xfId="0" applyFont="1" applyFill="1" applyBorder="1" applyAlignment="1" applyProtection="1">
      <alignment horizontal="right" vertical="top"/>
    </xf>
    <xf numFmtId="165" fontId="71" fillId="0" borderId="7" xfId="0" applyFont="1" applyFill="1" applyBorder="1" applyAlignment="1" applyProtection="1">
      <alignment horizontal="right" vertical="top"/>
    </xf>
    <xf numFmtId="177" fontId="71" fillId="0" borderId="0" xfId="2" applyNumberFormat="1" applyFont="1" applyFill="1" applyBorder="1" applyAlignment="1" applyProtection="1">
      <alignment horizontal="right" vertical="top"/>
    </xf>
    <xf numFmtId="166" fontId="71" fillId="0" borderId="0" xfId="2" applyFont="1" applyFill="1" applyBorder="1" applyAlignment="1" applyProtection="1">
      <alignment horizontal="right" vertical="top"/>
    </xf>
    <xf numFmtId="164" fontId="71" fillId="0" borderId="8" xfId="1" applyNumberFormat="1" applyFont="1" applyFill="1" applyBorder="1" applyAlignment="1" applyProtection="1">
      <alignment horizontal="right"/>
    </xf>
    <xf numFmtId="164" fontId="71" fillId="0" borderId="7" xfId="1" applyNumberFormat="1" applyFont="1" applyFill="1" applyBorder="1" applyAlignment="1" applyProtection="1">
      <alignment horizontal="right"/>
    </xf>
    <xf numFmtId="165" fontId="29" fillId="4" borderId="0" xfId="0" applyFont="1" applyFill="1" applyBorder="1" applyAlignment="1">
      <alignment vertical="top" wrapText="1"/>
    </xf>
    <xf numFmtId="164" fontId="52" fillId="4" borderId="0" xfId="1" applyNumberFormat="1" applyFont="1" applyFill="1" applyBorder="1" applyAlignment="1">
      <alignment horizontal="center"/>
    </xf>
    <xf numFmtId="165" fontId="71" fillId="0" borderId="0" xfId="0" applyFont="1" applyBorder="1" applyAlignment="1">
      <alignment vertical="top" wrapText="1"/>
    </xf>
    <xf numFmtId="0" fontId="72" fillId="0" borderId="5" xfId="0" applyNumberFormat="1" applyFont="1" applyFill="1" applyBorder="1" applyAlignment="1">
      <alignment horizontal="right" vertical="top"/>
    </xf>
    <xf numFmtId="165" fontId="71" fillId="0" borderId="21" xfId="0" applyFont="1" applyFill="1" applyBorder="1" applyProtection="1">
      <alignment vertical="top"/>
    </xf>
    <xf numFmtId="165" fontId="71" fillId="0" borderId="16" xfId="0" applyFont="1" applyFill="1" applyBorder="1" applyAlignment="1">
      <alignment vertical="top" wrapText="1"/>
    </xf>
    <xf numFmtId="165" fontId="71" fillId="0" borderId="0" xfId="0" applyFont="1" applyFill="1" applyBorder="1" applyAlignment="1">
      <alignment vertical="top" wrapText="1"/>
    </xf>
    <xf numFmtId="165" fontId="71" fillId="0" borderId="16" xfId="0" applyFont="1" applyBorder="1" applyAlignment="1">
      <alignment vertical="top" wrapText="1"/>
    </xf>
    <xf numFmtId="171" fontId="71" fillId="0" borderId="21" xfId="0" applyNumberFormat="1" applyFont="1" applyFill="1" applyBorder="1" applyProtection="1">
      <alignment vertical="top"/>
      <protection locked="0"/>
    </xf>
    <xf numFmtId="165" fontId="72" fillId="0" borderId="16" xfId="0" applyFont="1" applyBorder="1" applyAlignment="1">
      <alignment vertical="top" wrapText="1"/>
    </xf>
    <xf numFmtId="165" fontId="73" fillId="0" borderId="0" xfId="0" applyFont="1" applyBorder="1" applyAlignment="1">
      <alignment vertical="top" wrapText="1"/>
    </xf>
    <xf numFmtId="165" fontId="71" fillId="0" borderId="21" xfId="0" applyFont="1" applyBorder="1" applyProtection="1">
      <alignment vertical="top"/>
      <protection locked="0"/>
    </xf>
    <xf numFmtId="165" fontId="71" fillId="0" borderId="21" xfId="0" applyFont="1" applyBorder="1">
      <alignment vertical="top"/>
    </xf>
    <xf numFmtId="165" fontId="73" fillId="0" borderId="1" xfId="0" applyFont="1" applyBorder="1">
      <alignment vertical="top"/>
    </xf>
    <xf numFmtId="166" fontId="73" fillId="0" borderId="0" xfId="2" applyFont="1" applyBorder="1" applyAlignment="1">
      <alignment vertical="top" wrapText="1"/>
    </xf>
    <xf numFmtId="165" fontId="71" fillId="0" borderId="21" xfId="0" applyFont="1" applyFill="1" applyBorder="1" applyProtection="1">
      <alignment vertical="top"/>
      <protection locked="0"/>
    </xf>
    <xf numFmtId="165" fontId="71" fillId="0" borderId="23" xfId="0" applyFont="1" applyBorder="1" applyAlignment="1">
      <alignment vertical="top" wrapText="1"/>
    </xf>
    <xf numFmtId="165" fontId="72" fillId="0" borderId="0" xfId="0" applyFont="1" applyBorder="1">
      <alignment vertical="top"/>
    </xf>
    <xf numFmtId="0" fontId="74" fillId="0" borderId="29" xfId="15" applyFont="1" applyBorder="1" applyAlignment="1">
      <alignment vertical="center"/>
    </xf>
    <xf numFmtId="0" fontId="72" fillId="0" borderId="27" xfId="15" applyFont="1" applyBorder="1" applyAlignment="1">
      <alignment horizontal="right" vertical="center"/>
    </xf>
    <xf numFmtId="0" fontId="72" fillId="0" borderId="0" xfId="15" applyFont="1" applyAlignment="1">
      <alignment horizontal="right" vertical="center"/>
    </xf>
    <xf numFmtId="0" fontId="72" fillId="0" borderId="30" xfId="15" applyFont="1" applyBorder="1" applyAlignment="1">
      <alignment horizontal="right" vertical="center"/>
    </xf>
    <xf numFmtId="0" fontId="72" fillId="0" borderId="20" xfId="15" applyFont="1" applyBorder="1" applyAlignment="1">
      <alignment vertical="center"/>
    </xf>
    <xf numFmtId="0" fontId="71" fillId="0" borderId="20" xfId="15" applyFont="1" applyBorder="1"/>
    <xf numFmtId="165" fontId="76" fillId="0" borderId="20" xfId="0" applyFont="1" applyBorder="1" applyAlignment="1">
      <alignment horizontal="left" vertical="center" indent="1"/>
    </xf>
    <xf numFmtId="0" fontId="77" fillId="0" borderId="20" xfId="15" applyFont="1" applyBorder="1" applyAlignment="1">
      <alignment vertical="center"/>
    </xf>
    <xf numFmtId="0" fontId="72" fillId="0" borderId="27" xfId="18" applyFont="1" applyBorder="1" applyAlignment="1">
      <alignment horizontal="right" vertical="center"/>
    </xf>
    <xf numFmtId="0" fontId="72" fillId="0" borderId="0" xfId="18" applyFont="1" applyAlignment="1">
      <alignment horizontal="right" vertical="center"/>
    </xf>
    <xf numFmtId="0" fontId="72" fillId="0" borderId="30" xfId="18" applyFont="1" applyBorder="1" applyAlignment="1">
      <alignment horizontal="right" vertical="center"/>
    </xf>
    <xf numFmtId="0" fontId="77" fillId="0" borderId="20" xfId="18" applyFont="1" applyBorder="1" applyAlignment="1">
      <alignment vertical="center"/>
    </xf>
    <xf numFmtId="0" fontId="78" fillId="0" borderId="29" xfId="18" applyFont="1" applyBorder="1" applyAlignment="1">
      <alignment vertical="center"/>
    </xf>
    <xf numFmtId="0" fontId="78" fillId="0" borderId="20" xfId="18" applyFont="1" applyBorder="1" applyAlignment="1">
      <alignment vertical="center"/>
    </xf>
    <xf numFmtId="0" fontId="78" fillId="0" borderId="29" xfId="15" applyFont="1" applyBorder="1" applyAlignment="1">
      <alignment vertical="center"/>
    </xf>
    <xf numFmtId="165" fontId="73" fillId="0" borderId="11" xfId="0" applyFont="1" applyFill="1" applyBorder="1" applyAlignment="1">
      <alignment horizontal="center" vertical="top"/>
    </xf>
    <xf numFmtId="181" fontId="11" fillId="0" borderId="0" xfId="1" applyNumberFormat="1" applyFont="1" applyFill="1" applyBorder="1" applyAlignment="1" applyProtection="1">
      <alignment horizontal="right"/>
      <protection locked="0"/>
    </xf>
    <xf numFmtId="179" fontId="11" fillId="0" borderId="0" xfId="15" applyNumberFormat="1" applyFont="1" applyAlignment="1" applyProtection="1">
      <alignment horizontal="right" vertical="center"/>
      <protection locked="0"/>
    </xf>
    <xf numFmtId="179" fontId="16" fillId="0" borderId="0" xfId="15" applyNumberFormat="1" applyFont="1" applyAlignment="1" applyProtection="1">
      <alignment horizontal="right" vertical="center"/>
      <protection locked="0"/>
    </xf>
    <xf numFmtId="179" fontId="11" fillId="0" borderId="21" xfId="15" applyNumberFormat="1" applyFont="1" applyBorder="1" applyAlignment="1" applyProtection="1">
      <alignment horizontal="right" vertical="center"/>
      <protection locked="0"/>
    </xf>
    <xf numFmtId="179" fontId="11" fillId="0" borderId="28" xfId="15" applyNumberFormat="1" applyFont="1" applyBorder="1" applyAlignment="1" applyProtection="1">
      <alignment horizontal="right" vertical="center"/>
      <protection locked="0"/>
    </xf>
    <xf numFmtId="179" fontId="11" fillId="0" borderId="32" xfId="15" applyNumberFormat="1" applyFont="1" applyBorder="1" applyAlignment="1" applyProtection="1">
      <alignment horizontal="right" vertical="center"/>
      <protection locked="0"/>
    </xf>
    <xf numFmtId="179" fontId="11" fillId="0" borderId="0" xfId="18" applyNumberFormat="1" applyFont="1" applyAlignment="1" applyProtection="1">
      <alignment horizontal="right" vertical="center"/>
      <protection locked="0"/>
    </xf>
    <xf numFmtId="179" fontId="16" fillId="0" borderId="0" xfId="18" applyNumberFormat="1" applyFont="1" applyAlignment="1" applyProtection="1">
      <alignment horizontal="right" vertical="center"/>
      <protection locked="0"/>
    </xf>
    <xf numFmtId="179" fontId="11" fillId="0" borderId="21" xfId="18" applyNumberFormat="1" applyFont="1" applyBorder="1" applyAlignment="1" applyProtection="1">
      <alignment horizontal="right" vertical="center"/>
      <protection locked="0"/>
    </xf>
    <xf numFmtId="179" fontId="11" fillId="0" borderId="28" xfId="18" applyNumberFormat="1" applyFont="1" applyBorder="1" applyAlignment="1" applyProtection="1">
      <alignment horizontal="right" vertical="center"/>
      <protection locked="0"/>
    </xf>
    <xf numFmtId="179" fontId="11" fillId="0" borderId="32" xfId="18" applyNumberFormat="1" applyFont="1" applyBorder="1" applyAlignment="1" applyProtection="1">
      <alignment horizontal="right" vertical="center"/>
      <protection locked="0"/>
    </xf>
    <xf numFmtId="0" fontId="16" fillId="0" borderId="0" xfId="18" applyFont="1" applyAlignment="1" applyProtection="1">
      <alignment horizontal="right" vertical="center"/>
      <protection locked="0"/>
    </xf>
    <xf numFmtId="179" fontId="16" fillId="0" borderId="21" xfId="18" applyNumberFormat="1" applyFont="1" applyBorder="1" applyAlignment="1" applyProtection="1">
      <alignment horizontal="right" vertical="center"/>
      <protection locked="0"/>
    </xf>
    <xf numFmtId="179" fontId="11" fillId="0" borderId="23" xfId="18" applyNumberFormat="1" applyFont="1" applyBorder="1" applyAlignment="1" applyProtection="1">
      <alignment horizontal="right" vertical="center"/>
      <protection locked="0"/>
    </xf>
    <xf numFmtId="0" fontId="11" fillId="0" borderId="23" xfId="18" applyFont="1" applyBorder="1" applyAlignment="1" applyProtection="1">
      <alignment horizontal="right" vertical="center"/>
      <protection locked="0"/>
    </xf>
    <xf numFmtId="179" fontId="11" fillId="0" borderId="24" xfId="18" applyNumberFormat="1" applyFont="1" applyBorder="1" applyAlignment="1" applyProtection="1">
      <alignment horizontal="right" vertical="center"/>
      <protection locked="0"/>
    </xf>
    <xf numFmtId="164" fontId="80" fillId="0" borderId="0" xfId="1" applyNumberFormat="1" applyFont="1" applyFill="1" applyBorder="1" applyAlignment="1" applyProtection="1">
      <alignment horizontal="right"/>
      <protection locked="0"/>
    </xf>
    <xf numFmtId="165" fontId="32" fillId="0" borderId="22" xfId="0" applyFont="1" applyFill="1" applyBorder="1" applyAlignment="1">
      <alignment horizontal="left" vertical="top" wrapText="1"/>
    </xf>
    <xf numFmtId="165" fontId="32" fillId="0" borderId="23" xfId="0" applyFont="1" applyFill="1" applyBorder="1" applyAlignment="1">
      <alignment horizontal="left" vertical="top" wrapText="1"/>
    </xf>
    <xf numFmtId="165" fontId="32" fillId="0" borderId="24" xfId="0" applyFont="1" applyFill="1" applyBorder="1" applyAlignment="1">
      <alignment horizontal="left" vertical="top" wrapText="1"/>
    </xf>
    <xf numFmtId="165" fontId="17" fillId="0" borderId="20" xfId="0" applyFont="1" applyFill="1" applyBorder="1" applyAlignment="1">
      <alignment horizontal="left" vertical="top" wrapText="1"/>
    </xf>
    <xf numFmtId="165" fontId="17" fillId="0" borderId="0" xfId="0" applyFont="1" applyFill="1" applyBorder="1" applyAlignment="1">
      <alignment horizontal="left" vertical="top" wrapText="1"/>
    </xf>
    <xf numFmtId="165" fontId="17" fillId="0" borderId="21" xfId="0" applyFont="1" applyFill="1" applyBorder="1" applyAlignment="1">
      <alignment horizontal="left" vertical="top" wrapText="1"/>
    </xf>
    <xf numFmtId="0" fontId="17" fillId="0" borderId="20"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21" xfId="0" applyNumberFormat="1" applyFont="1" applyFill="1" applyBorder="1" applyAlignment="1">
      <alignment horizontal="left" vertical="top" wrapText="1"/>
    </xf>
    <xf numFmtId="49" fontId="17" fillId="0" borderId="20"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21" xfId="0" applyNumberFormat="1" applyFont="1" applyFill="1" applyBorder="1" applyAlignment="1">
      <alignment horizontal="left" vertical="top" wrapText="1"/>
    </xf>
    <xf numFmtId="165" fontId="32" fillId="0" borderId="20" xfId="0" applyFont="1" applyFill="1" applyBorder="1" applyAlignment="1">
      <alignment horizontal="left" vertical="top" wrapText="1"/>
    </xf>
    <xf numFmtId="165" fontId="32" fillId="0" borderId="0" xfId="0" applyFont="1" applyFill="1" applyBorder="1" applyAlignment="1">
      <alignment horizontal="left" vertical="top" wrapText="1"/>
    </xf>
    <xf numFmtId="165" fontId="32" fillId="0" borderId="21" xfId="0" applyFont="1" applyFill="1" applyBorder="1" applyAlignment="1">
      <alignment horizontal="left" vertical="top" wrapText="1"/>
    </xf>
    <xf numFmtId="165" fontId="11" fillId="0" borderId="0" xfId="0" applyFont="1" applyFill="1" applyBorder="1" applyAlignment="1">
      <alignment horizontal="center" vertical="top"/>
    </xf>
    <xf numFmtId="165" fontId="12" fillId="0" borderId="0" xfId="0" applyFont="1" applyFill="1" applyBorder="1" applyAlignment="1">
      <alignment horizontal="center" vertical="top" wrapText="1"/>
    </xf>
    <xf numFmtId="0" fontId="45" fillId="0" borderId="0" xfId="15" applyFont="1" applyAlignment="1">
      <alignment horizontal="center" vertical="center"/>
    </xf>
    <xf numFmtId="0" fontId="45" fillId="0" borderId="21" xfId="15" applyFont="1" applyBorder="1" applyAlignment="1">
      <alignment horizontal="center" vertical="center"/>
    </xf>
  </cellXfs>
  <cellStyles count="19">
    <cellStyle name="Comma" xfId="1" builtinId="3"/>
    <cellStyle name="Comma 2" xfId="9" xr:uid="{00000000-0005-0000-0000-000001000000}"/>
    <cellStyle name="Comma 2 10" xfId="7" xr:uid="{00000000-0005-0000-0000-000002000000}"/>
    <cellStyle name="DateLong" xfId="4" xr:uid="{00000000-0005-0000-0000-000003000000}"/>
    <cellStyle name="DateShort" xfId="5" xr:uid="{00000000-0005-0000-0000-000004000000}"/>
    <cellStyle name="Factor" xfId="3" xr:uid="{00000000-0005-0000-0000-000005000000}"/>
    <cellStyle name="Hyperlink" xfId="14" builtinId="8"/>
    <cellStyle name="Normal" xfId="0" builtinId="0" customBuiltin="1"/>
    <cellStyle name="Normal 2" xfId="8" xr:uid="{00000000-0005-0000-0000-000007000000}"/>
    <cellStyle name="Normal 3" xfId="10" xr:uid="{00000000-0005-0000-0000-000008000000}"/>
    <cellStyle name="Normal 31" xfId="17" xr:uid="{561064CD-32E5-4919-974F-6C01A494B1DA}"/>
    <cellStyle name="Normal 4" xfId="11" xr:uid="{00000000-0005-0000-0000-000009000000}"/>
    <cellStyle name="Normal 5" xfId="15" xr:uid="{5F4365D1-D27D-4F67-8178-FBEB2C79BDCB}"/>
    <cellStyle name="Normal 6" xfId="12" xr:uid="{00000000-0005-0000-0000-00000A000000}"/>
    <cellStyle name="Normal 7" xfId="18" xr:uid="{8D9F6DE4-9B92-4ABB-AF96-43AA74369208}"/>
    <cellStyle name="Percent" xfId="2" builtinId="5" customBuiltin="1"/>
    <cellStyle name="Percent 2" xfId="16" xr:uid="{9258D7BF-E356-4DBC-BCA1-FF51678E031F}"/>
    <cellStyle name="Style 1" xfId="13" xr:uid="{00000000-0005-0000-0000-00000C000000}"/>
    <cellStyle name="Year" xfId="6" xr:uid="{00000000-0005-0000-0000-00000D000000}"/>
  </cellStyles>
  <dxfs count="0"/>
  <tableStyles count="0" defaultTableStyle="TableStyleMedium2" defaultPivotStyle="PivotStyleLight16"/>
  <colors>
    <mruColors>
      <color rgb="FF284D8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19050</xdr:colOff>
      <xdr:row>1</xdr:row>
      <xdr:rowOff>6350</xdr:rowOff>
    </xdr:from>
    <xdr:to>
      <xdr:col>13</xdr:col>
      <xdr:colOff>531519</xdr:colOff>
      <xdr:row>8</xdr:row>
      <xdr:rowOff>336550</xdr:rowOff>
    </xdr:to>
    <xdr:pic>
      <xdr:nvPicPr>
        <xdr:cNvPr id="25" name="Picture 24">
          <a:extLst>
            <a:ext uri="{FF2B5EF4-FFF2-40B4-BE49-F238E27FC236}">
              <a16:creationId xmlns:a16="http://schemas.microsoft.com/office/drawing/2014/main" id="{77ED2023-6FFE-469A-A6A8-F4DA196E3E18}"/>
            </a:ext>
          </a:extLst>
        </xdr:cNvPr>
        <xdr:cNvPicPr>
          <a:picLocks noChangeAspect="1"/>
        </xdr:cNvPicPr>
      </xdr:nvPicPr>
      <xdr:blipFill>
        <a:blip xmlns:r="http://schemas.openxmlformats.org/officeDocument/2006/relationships" r:embed="rId1"/>
        <a:stretch>
          <a:fillRect/>
        </a:stretch>
      </xdr:blipFill>
      <xdr:spPr>
        <a:xfrm>
          <a:off x="4476750" y="50800"/>
          <a:ext cx="2722269" cy="1485900"/>
        </a:xfrm>
        <a:custGeom>
          <a:avLst/>
          <a:gdLst>
            <a:gd name="connsiteX0" fmla="*/ 388 w 4770983"/>
            <a:gd name="connsiteY0" fmla="*/ 75 h 2629961"/>
            <a:gd name="connsiteX1" fmla="*/ 4771372 w 4770983"/>
            <a:gd name="connsiteY1" fmla="*/ 75 h 2629961"/>
            <a:gd name="connsiteX2" fmla="*/ 4771372 w 4770983"/>
            <a:gd name="connsiteY2" fmla="*/ 2630036 h 2629961"/>
            <a:gd name="connsiteX3" fmla="*/ 388 w 4770983"/>
            <a:gd name="connsiteY3" fmla="*/ 2630036 h 2629961"/>
          </a:gdLst>
          <a:ahLst/>
          <a:cxnLst>
            <a:cxn ang="0">
              <a:pos x="connsiteX0" y="connsiteY0"/>
            </a:cxn>
            <a:cxn ang="0">
              <a:pos x="connsiteX1" y="connsiteY1"/>
            </a:cxn>
            <a:cxn ang="0">
              <a:pos x="connsiteX2" y="connsiteY2"/>
            </a:cxn>
            <a:cxn ang="0">
              <a:pos x="connsiteX3" y="connsiteY3"/>
            </a:cxn>
          </a:cxnLst>
          <a:rect l="l" t="t" r="r" b="b"/>
          <a:pathLst>
            <a:path w="4770983" h="2629961">
              <a:moveTo>
                <a:pt x="388" y="75"/>
              </a:moveTo>
              <a:lnTo>
                <a:pt x="4771372" y="75"/>
              </a:lnTo>
              <a:lnTo>
                <a:pt x="4771372" y="2630036"/>
              </a:lnTo>
              <a:lnTo>
                <a:pt x="388" y="2630036"/>
              </a:lnTo>
              <a:close/>
            </a:path>
          </a:pathLst>
        </a:custGeom>
      </xdr:spPr>
    </xdr:pic>
    <xdr:clientData/>
  </xdr:twoCellAnchor>
  <xdr:twoCellAnchor>
    <xdr:from>
      <xdr:col>5</xdr:col>
      <xdr:colOff>115570</xdr:colOff>
      <xdr:row>13</xdr:row>
      <xdr:rowOff>88900</xdr:rowOff>
    </xdr:from>
    <xdr:to>
      <xdr:col>5</xdr:col>
      <xdr:colOff>179578</xdr:colOff>
      <xdr:row>13</xdr:row>
      <xdr:rowOff>152908</xdr:rowOff>
    </xdr:to>
    <xdr:sp macro="" textlink="">
      <xdr:nvSpPr>
        <xdr:cNvPr id="2" name="Isosceles Triangle 1">
          <a:extLst>
            <a:ext uri="{FF2B5EF4-FFF2-40B4-BE49-F238E27FC236}">
              <a16:creationId xmlns:a16="http://schemas.microsoft.com/office/drawing/2014/main" id="{7AC6FE49-F56F-4244-8C9A-0491C8B899E0}"/>
            </a:ext>
          </a:extLst>
        </xdr:cNvPr>
        <xdr:cNvSpPr/>
      </xdr:nvSpPr>
      <xdr:spPr>
        <a:xfrm rot="5400000">
          <a:off x="236347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14</xdr:row>
      <xdr:rowOff>88900</xdr:rowOff>
    </xdr:from>
    <xdr:to>
      <xdr:col>5</xdr:col>
      <xdr:colOff>179578</xdr:colOff>
      <xdr:row>14</xdr:row>
      <xdr:rowOff>152908</xdr:rowOff>
    </xdr:to>
    <xdr:sp macro="" textlink="">
      <xdr:nvSpPr>
        <xdr:cNvPr id="3" name="Isosceles Triangle 2">
          <a:extLst>
            <a:ext uri="{FF2B5EF4-FFF2-40B4-BE49-F238E27FC236}">
              <a16:creationId xmlns:a16="http://schemas.microsoft.com/office/drawing/2014/main" id="{BBC89AC7-550A-9B64-5AC1-EC1B0BCF0705}"/>
            </a:ext>
          </a:extLst>
        </xdr:cNvPr>
        <xdr:cNvSpPr/>
      </xdr:nvSpPr>
      <xdr:spPr>
        <a:xfrm rot="5400000">
          <a:off x="2363470" y="30035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15</xdr:row>
      <xdr:rowOff>88900</xdr:rowOff>
    </xdr:from>
    <xdr:to>
      <xdr:col>5</xdr:col>
      <xdr:colOff>179578</xdr:colOff>
      <xdr:row>15</xdr:row>
      <xdr:rowOff>152908</xdr:rowOff>
    </xdr:to>
    <xdr:sp macro="" textlink="">
      <xdr:nvSpPr>
        <xdr:cNvPr id="4" name="Isosceles Triangle 3">
          <a:extLst>
            <a:ext uri="{FF2B5EF4-FFF2-40B4-BE49-F238E27FC236}">
              <a16:creationId xmlns:a16="http://schemas.microsoft.com/office/drawing/2014/main" id="{5902C3A2-3557-0E76-9CB1-EE6FEFEA8F70}"/>
            </a:ext>
          </a:extLst>
        </xdr:cNvPr>
        <xdr:cNvSpPr/>
      </xdr:nvSpPr>
      <xdr:spPr>
        <a:xfrm rot="5400000">
          <a:off x="236347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12</xdr:row>
      <xdr:rowOff>88900</xdr:rowOff>
    </xdr:from>
    <xdr:to>
      <xdr:col>12</xdr:col>
      <xdr:colOff>128778</xdr:colOff>
      <xdr:row>12</xdr:row>
      <xdr:rowOff>152908</xdr:rowOff>
    </xdr:to>
    <xdr:sp macro="" textlink="">
      <xdr:nvSpPr>
        <xdr:cNvPr id="5" name="Isosceles Triangle 4">
          <a:extLst>
            <a:ext uri="{FF2B5EF4-FFF2-40B4-BE49-F238E27FC236}">
              <a16:creationId xmlns:a16="http://schemas.microsoft.com/office/drawing/2014/main" id="{648988F9-7E39-EB43-A3A3-6658F5EE040C}"/>
            </a:ext>
          </a:extLst>
        </xdr:cNvPr>
        <xdr:cNvSpPr/>
      </xdr:nvSpPr>
      <xdr:spPr>
        <a:xfrm rot="5400000">
          <a:off x="617982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13</xdr:row>
      <xdr:rowOff>88900</xdr:rowOff>
    </xdr:from>
    <xdr:to>
      <xdr:col>12</xdr:col>
      <xdr:colOff>128778</xdr:colOff>
      <xdr:row>13</xdr:row>
      <xdr:rowOff>152908</xdr:rowOff>
    </xdr:to>
    <xdr:sp macro="" textlink="">
      <xdr:nvSpPr>
        <xdr:cNvPr id="7" name="Isosceles Triangle 6">
          <a:extLst>
            <a:ext uri="{FF2B5EF4-FFF2-40B4-BE49-F238E27FC236}">
              <a16:creationId xmlns:a16="http://schemas.microsoft.com/office/drawing/2014/main" id="{5CE434EB-0452-A4CC-DF72-639CD933128E}"/>
            </a:ext>
          </a:extLst>
        </xdr:cNvPr>
        <xdr:cNvSpPr/>
      </xdr:nvSpPr>
      <xdr:spPr>
        <a:xfrm rot="5400000">
          <a:off x="617982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14</xdr:row>
      <xdr:rowOff>95250</xdr:rowOff>
    </xdr:from>
    <xdr:to>
      <xdr:col>12</xdr:col>
      <xdr:colOff>128778</xdr:colOff>
      <xdr:row>14</xdr:row>
      <xdr:rowOff>159258</xdr:rowOff>
    </xdr:to>
    <xdr:sp macro="" textlink="">
      <xdr:nvSpPr>
        <xdr:cNvPr id="8" name="Isosceles Triangle 7">
          <a:extLst>
            <a:ext uri="{FF2B5EF4-FFF2-40B4-BE49-F238E27FC236}">
              <a16:creationId xmlns:a16="http://schemas.microsoft.com/office/drawing/2014/main" id="{B96FA18F-DADE-D5D1-BB1D-89ED768D1880}"/>
            </a:ext>
          </a:extLst>
        </xdr:cNvPr>
        <xdr:cNvSpPr/>
      </xdr:nvSpPr>
      <xdr:spPr>
        <a:xfrm rot="5400000">
          <a:off x="6179820" y="30099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15</xdr:row>
      <xdr:rowOff>88900</xdr:rowOff>
    </xdr:from>
    <xdr:to>
      <xdr:col>12</xdr:col>
      <xdr:colOff>128778</xdr:colOff>
      <xdr:row>15</xdr:row>
      <xdr:rowOff>152908</xdr:rowOff>
    </xdr:to>
    <xdr:sp macro="" textlink="">
      <xdr:nvSpPr>
        <xdr:cNvPr id="9" name="Isosceles Triangle 8">
          <a:extLst>
            <a:ext uri="{FF2B5EF4-FFF2-40B4-BE49-F238E27FC236}">
              <a16:creationId xmlns:a16="http://schemas.microsoft.com/office/drawing/2014/main" id="{99E47F0C-E405-309C-808F-A9FB6706FD96}"/>
            </a:ext>
          </a:extLst>
        </xdr:cNvPr>
        <xdr:cNvSpPr/>
      </xdr:nvSpPr>
      <xdr:spPr>
        <a:xfrm rot="5400000">
          <a:off x="617982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12</xdr:row>
      <xdr:rowOff>88900</xdr:rowOff>
    </xdr:from>
    <xdr:to>
      <xdr:col>5</xdr:col>
      <xdr:colOff>179578</xdr:colOff>
      <xdr:row>12</xdr:row>
      <xdr:rowOff>152908</xdr:rowOff>
    </xdr:to>
    <xdr:sp macro="" textlink="">
      <xdr:nvSpPr>
        <xdr:cNvPr id="10" name="Isosceles Triangle 9">
          <a:extLst>
            <a:ext uri="{FF2B5EF4-FFF2-40B4-BE49-F238E27FC236}">
              <a16:creationId xmlns:a16="http://schemas.microsoft.com/office/drawing/2014/main" id="{3FC7F458-B62C-46D5-BEC3-986B7EAEED53}"/>
            </a:ext>
          </a:extLst>
        </xdr:cNvPr>
        <xdr:cNvSpPr/>
      </xdr:nvSpPr>
      <xdr:spPr>
        <a:xfrm rot="5400000">
          <a:off x="236347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444804</xdr:colOff>
      <xdr:row>3</xdr:row>
      <xdr:rowOff>116840</xdr:rowOff>
    </xdr:to>
    <xdr:pic>
      <xdr:nvPicPr>
        <xdr:cNvPr id="2" name="Picture 1" descr="A blue and black logo&#10;&#10;Description automatically generated">
          <a:extLst>
            <a:ext uri="{FF2B5EF4-FFF2-40B4-BE49-F238E27FC236}">
              <a16:creationId xmlns:a16="http://schemas.microsoft.com/office/drawing/2014/main" id="{4D686103-0889-43F7-ACA0-EC13E22F2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8100"/>
          <a:ext cx="1003604" cy="548640"/>
        </a:xfrm>
        <a:prstGeom prst="rect">
          <a:avLst/>
        </a:prstGeom>
      </xdr:spPr>
    </xdr:pic>
    <xdr:clientData/>
  </xdr:twoCellAnchor>
  <xdr:twoCellAnchor>
    <xdr:from>
      <xdr:col>1</xdr:col>
      <xdr:colOff>158750</xdr:colOff>
      <xdr:row>6</xdr:row>
      <xdr:rowOff>19050</xdr:rowOff>
    </xdr:from>
    <xdr:to>
      <xdr:col>20</xdr:col>
      <xdr:colOff>349250</xdr:colOff>
      <xdr:row>35</xdr:row>
      <xdr:rowOff>12700</xdr:rowOff>
    </xdr:to>
    <xdr:sp macro="" textlink="">
      <xdr:nvSpPr>
        <xdr:cNvPr id="4" name="Content Placeholder 2">
          <a:extLst>
            <a:ext uri="{FF2B5EF4-FFF2-40B4-BE49-F238E27FC236}">
              <a16:creationId xmlns:a16="http://schemas.microsoft.com/office/drawing/2014/main" id="{CECF6904-4F1B-4153-9F06-A9D9A3CF04D2}"/>
            </a:ext>
          </a:extLst>
        </xdr:cNvPr>
        <xdr:cNvSpPr>
          <a:spLocks noGrp="1"/>
        </xdr:cNvSpPr>
      </xdr:nvSpPr>
      <xdr:spPr>
        <a:xfrm>
          <a:off x="190500" y="1085850"/>
          <a:ext cx="10807700" cy="4781550"/>
        </a:xfrm>
        <a:prstGeom prst="rect">
          <a:avLst/>
        </a:prstGeom>
      </xdr:spPr>
      <xdr:txBody>
        <a:bodyPr vert="horz" wrap="square" lIns="0" tIns="45720" rIns="0" bIns="45720" numCol="2" spcCol="457200" rtlCol="0">
          <a:noAutofit/>
        </a:bodyPr>
        <a:lstStyle>
          <a:lvl1pPr marL="111125" indent="-111125" algn="l" defTabSz="914400" rtl="0" eaLnBrk="1" latinLnBrk="0" hangingPunct="1">
            <a:lnSpc>
              <a:spcPct val="90000"/>
            </a:lnSpc>
            <a:spcBef>
              <a:spcPts val="1000"/>
            </a:spcBef>
            <a:buFont typeface="Arial" panose="020B0604020202020204" pitchFamily="34" charset="0"/>
            <a:buChar char="•"/>
            <a:defRPr sz="1500" kern="1200">
              <a:solidFill>
                <a:schemeClr val="tx1"/>
              </a:solidFill>
              <a:latin typeface="+mn-lt"/>
              <a:ea typeface="+mn-ea"/>
              <a:cs typeface="+mn-cs"/>
            </a:defRPr>
          </a:lvl1pPr>
          <a:lvl2pPr marL="5730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2pPr>
          <a:lvl3pPr marL="10255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3pPr>
          <a:lvl4pPr marL="14874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4pPr>
          <a:lvl5pPr marL="19399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have been prepared by and are the sole responsibility of the National Central Cooling Company PJSC, ‘Tabreed’ (the “Company”). These materials have been prepared solely for your information and as general background about the activities of Tabreed</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confidential and may not be further distributed or passed on to any other person or published or reproduced, in whole or in part, by any medium or in any form for any purpose. The distribution of these materials in other jurisdictions may be restricted by law, and persons into whose possession this publication comes should inform themselves about, and observe, any such restrictions</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for information purposes only and do not constitute a prospectus, offering memorandum or offering circular or an offer to sell any securities and are not intended to provide the basis for any credit or any third-party evaluation of any securities or any offering of them and should not be considered as a recommendation that any investor should subscribe for or purchase any securities. The information contained herein has not been verified by the Company, its advisers or any other person and is subject to change without notice and past performance is not indicative of future results. The Company is under no obligation to update, complete or keep current the information contained herein and any opinions expressed herein are subject to change materially without notice</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None of the Company or its subsidiaries or any of their affiliates or advisors make any representation or warranty as to the fairness, accuracy, adequacy or completeness of the information, the assumptions on which it is based, the reasonableness of any projections or forecasts contained herein or any further information supplied or the suitability of any investment for your purpose. None of the Company or any of its affiliates or advisors, or their respective directors, officers or employees, share any responsibility for any loss, damage or other result arising from your reliance on this information. Each of the Company, its subsidiaries, their affiliates and advisors and any such persons’ directors, officers or employees expressly disclaim any and all liability relating to this publication including without limitation any express or implied representations or warranties for statements contained in, and omissions from, the information herein</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 merits or suitability of any securities to any investor's particular situation should be independently determined by such investor. Any such determination should involve inter alia, an assessment of the legal, tax, accounting, regulatory, financial, credit and other related aspects of any securities</a:t>
          </a:r>
        </a:p>
        <a:p>
          <a:pPr marL="115888" indent="-115888" algn="just">
            <a:lnSpc>
              <a:spcPct val="100000"/>
            </a:lnSpc>
          </a:pPr>
          <a:r>
            <a:rPr lang="en-IN" sz="900">
              <a:solidFill>
                <a:schemeClr val="tx1"/>
              </a:solidFill>
              <a:latin typeface="TT Commons" panose="02000506040000020004" pitchFamily="2" charset="0"/>
              <a:sym typeface="Calibri"/>
            </a:rPr>
            <a:t>No person is authorized to give any information or to make any representation not contained in and not consistent with these materials and, if given or made, such information or representation must not be relied upon as having been authorized by or on behalf of the Company</a:t>
          </a:r>
        </a:p>
        <a:p>
          <a:pPr marL="115888" indent="-115888" algn="just">
            <a:lnSpc>
              <a:spcPct val="100000"/>
            </a:lnSpc>
          </a:pPr>
          <a:r>
            <a:rPr lang="en-IN" sz="900">
              <a:solidFill>
                <a:schemeClr val="tx1"/>
              </a:solidFill>
              <a:latin typeface="TT Commons" panose="02000506040000020004" pitchFamily="2" charset="0"/>
              <a:sym typeface="Calibri"/>
            </a:rPr>
            <a:t>These materials are not intended for publication or distribution to, or use by any person or entity in any jurisdiction or country where such distribution or use would be contrary to local law or regulation. The securities discussed in this publication have not been and will not be registered under the U.S. Securities Act of 1933, as amended (the Securities Act) and may not be offered or sold except under an exemption from, or transaction not subject to, the registration requirements of the Securities Act. In particular, these materials are not intended for publication or distribution, except to certain persons in offshore transactions outside the United States in reliance on Regulation S under the Securities Act</a:t>
          </a:r>
        </a:p>
        <a:p>
          <a:pPr algn="just">
            <a:lnSpc>
              <a:spcPct val="100000"/>
            </a:lnSpc>
          </a:pPr>
          <a:r>
            <a:rPr lang="en-IN" sz="900">
              <a:solidFill>
                <a:schemeClr val="tx1"/>
              </a:solidFill>
              <a:latin typeface="TT Commons" panose="02000506040000020004" pitchFamily="2" charset="0"/>
              <a:sym typeface="Calibri"/>
            </a:rPr>
            <a:t>These materials contain information regarding the past performance of the Company and its subsidiaries. Such performance may not be representative of the entire performance of the Company and its subsidiaries. Past performance is neither a guide to future returns nor to the future performance of the Company and its subsidiaries</a:t>
          </a:r>
        </a:p>
        <a:p>
          <a:pPr algn="just">
            <a:lnSpc>
              <a:spcPct val="100000"/>
            </a:lnSpc>
          </a:pPr>
          <a:r>
            <a:rPr lang="en-IN" sz="900">
              <a:solidFill>
                <a:schemeClr val="tx1"/>
              </a:solidFill>
              <a:latin typeface="TT Commons" panose="02000506040000020004" pitchFamily="2" charset="0"/>
              <a:sym typeface="Calibri"/>
            </a:rPr>
            <a:t>These materials contain, or may be deemed to contain, forward-looking statements. </a:t>
          </a:r>
          <a:r>
            <a:rPr lang="en-US" sz="900">
              <a:solidFill>
                <a:schemeClr val="tx1"/>
              </a:solidFill>
              <a:latin typeface="TT Commons" panose="02000506040000020004" pitchFamily="2" charset="0"/>
              <a:sym typeface="Calibri"/>
            </a:rPr>
            <a:t>Such statements include financial projections and estimates, as well as statements about projects, objectives and expectations regarding future operations, profits, or services, or future performance. Although Tabreed management believes that these forward-looking statements are reasonable, investors and shareholders should be aware that such forward looking information and statements are subject to many risks and uncertainties that are generally difficult to predict and beyond the control of Tabreed and may cause results and developments to differ significantly from those expressed, implied or predicted</a:t>
          </a:r>
        </a:p>
        <a:p>
          <a:pPr algn="just">
            <a:lnSpc>
              <a:spcPct val="100000"/>
            </a:lnSpc>
          </a:pPr>
          <a:r>
            <a:rPr lang="en-IN" sz="900">
              <a:solidFill>
                <a:schemeClr val="tx1"/>
              </a:solidFill>
              <a:latin typeface="TT Commons" panose="02000506040000020004" pitchFamily="2" charset="0"/>
              <a:sym typeface="Calibri"/>
            </a:rPr>
            <a:t>Any investment in securities is subject to various risks, such risks should be carefully considered by prospective investors before they make any investment decisions. The Company undertakes no obligation to update their view of such risks and uncertainties or to publicly announce the result of any revision to the forward-looking statements made herein, except where it would be required to do so under applicable law</a:t>
          </a:r>
        </a:p>
        <a:p>
          <a:pPr algn="just">
            <a:lnSpc>
              <a:spcPct val="100000"/>
            </a:lnSpc>
          </a:pPr>
          <a:r>
            <a:rPr lang="en-US" sz="900">
              <a:solidFill>
                <a:schemeClr val="tx1"/>
              </a:solidFill>
              <a:latin typeface="TT Commons" panose="02000506040000020004" pitchFamily="2" charset="0"/>
              <a:sym typeface="Calibri"/>
            </a:rPr>
            <a:t>The Company uses alternative performance measures (APMs) which are relevant to enhance the understanding of the financial performance and financial position of the Group, which are neither measurements under IFRS nor any other body of generally accepted accounting principles and thus should not be considered as substitutes for the information contained in the Group’s financial statements</a:t>
          </a:r>
        </a:p>
        <a:p>
          <a:pPr algn="just">
            <a:lnSpc>
              <a:spcPct val="100000"/>
            </a:lnSpc>
          </a:pPr>
          <a:r>
            <a:rPr lang="en-US" sz="900">
              <a:solidFill>
                <a:schemeClr val="tx1"/>
              </a:solidFill>
              <a:latin typeface="TT Commons" panose="02000506040000020004" pitchFamily="2" charset="0"/>
              <a:sym typeface="Calibri"/>
            </a:rPr>
            <a:t>Due to rounding, numbers presented may not add up precisely to the totals provided and percentages may not precisely reflect the absolute figures</a:t>
          </a:r>
          <a:endParaRPr lang="en-IN" sz="900">
            <a:solidFill>
              <a:schemeClr val="tx1"/>
            </a:solidFill>
            <a:latin typeface="TT Commons" panose="02000506040000020004" pitchFamily="2" charset="0"/>
            <a:sym typeface="Calibri"/>
          </a:endParaRPr>
        </a:p>
      </xdr:txBody>
    </xdr:sp>
    <xdr:clientData/>
  </xdr:twoCellAnchor>
  <xdr:twoCellAnchor>
    <xdr:from>
      <xdr:col>19</xdr:col>
      <xdr:colOff>177800</xdr:colOff>
      <xdr:row>1</xdr:row>
      <xdr:rowOff>25400</xdr:rowOff>
    </xdr:from>
    <xdr:to>
      <xdr:col>20</xdr:col>
      <xdr:colOff>539750</xdr:colOff>
      <xdr:row>2</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D9FFEBA0-24B9-4185-8127-489302CB85D3}"/>
            </a:ext>
          </a:extLst>
        </xdr:cNvPr>
        <xdr:cNvSpPr txBox="1"/>
      </xdr:nvSpPr>
      <xdr:spPr>
        <a:xfrm>
          <a:off x="10267950" y="63500"/>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1634059</xdr:colOff>
      <xdr:row>13</xdr:row>
      <xdr:rowOff>166739</xdr:rowOff>
    </xdr:from>
    <xdr:to>
      <xdr:col>5</xdr:col>
      <xdr:colOff>294920</xdr:colOff>
      <xdr:row>18</xdr:row>
      <xdr:rowOff>16315</xdr:rowOff>
    </xdr:to>
    <xdr:pic>
      <xdr:nvPicPr>
        <xdr:cNvPr id="4" name="Picture 3" descr="D:\IETemp\Temporary Internet Files\Content.IE5\1WXV328I\Emoji_u2744.svg[1].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6892" y="2488017"/>
          <a:ext cx="73519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639478</xdr:colOff>
      <xdr:row>21</xdr:row>
      <xdr:rowOff>54511</xdr:rowOff>
    </xdr:from>
    <xdr:to>
      <xdr:col>5</xdr:col>
      <xdr:colOff>1301467</xdr:colOff>
      <xdr:row>23</xdr:row>
      <xdr:rowOff>116421</xdr:rowOff>
    </xdr:to>
    <xdr:sp macro="" textlink="">
      <xdr:nvSpPr>
        <xdr:cNvPr id="8" name="Left Brace 7">
          <a:extLst>
            <a:ext uri="{FF2B5EF4-FFF2-40B4-BE49-F238E27FC236}">
              <a16:creationId xmlns:a16="http://schemas.microsoft.com/office/drawing/2014/main" id="{00000000-0008-0000-0000-000008000000}"/>
            </a:ext>
          </a:extLst>
        </xdr:cNvPr>
        <xdr:cNvSpPr/>
      </xdr:nvSpPr>
      <xdr:spPr>
        <a:xfrm rot="5400000">
          <a:off x="7248243" y="2589746"/>
          <a:ext cx="417510" cy="2674939"/>
        </a:xfrm>
        <a:prstGeom prst="leftBrac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609600</xdr:colOff>
      <xdr:row>14</xdr:row>
      <xdr:rowOff>26102</xdr:rowOff>
    </xdr:from>
    <xdr:to>
      <xdr:col>4</xdr:col>
      <xdr:colOff>628650</xdr:colOff>
      <xdr:row>17</xdr:row>
      <xdr:rowOff>131933</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a:off x="5073650" y="2445452"/>
          <a:ext cx="1035050" cy="639231"/>
        </a:xfrm>
        <a:prstGeom prst="right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88902</xdr:colOff>
      <xdr:row>13</xdr:row>
      <xdr:rowOff>122544</xdr:rowOff>
    </xdr:from>
    <xdr:to>
      <xdr:col>1</xdr:col>
      <xdr:colOff>882650</xdr:colOff>
      <xdr:row>18</xdr:row>
      <xdr:rowOff>69332</xdr:rowOff>
    </xdr:to>
    <xdr:pic>
      <xdr:nvPicPr>
        <xdr:cNvPr id="12" name="Picture 11" descr="http://www.iuncapped.co.za/images/contract-ico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88902" y="2364094"/>
          <a:ext cx="793748" cy="835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79326</xdr:colOff>
      <xdr:row>3</xdr:row>
      <xdr:rowOff>111196</xdr:rowOff>
    </xdr:to>
    <xdr:pic>
      <xdr:nvPicPr>
        <xdr:cNvPr id="5" name="Picture 4" descr="A blue and black logo&#10;&#10;Description automatically generated">
          <a:extLst>
            <a:ext uri="{FF2B5EF4-FFF2-40B4-BE49-F238E27FC236}">
              <a16:creationId xmlns:a16="http://schemas.microsoft.com/office/drawing/2014/main" id="{009396A3-DA01-7220-1842-FCC51E552D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278" y="35278"/>
          <a:ext cx="1003604" cy="548640"/>
        </a:xfrm>
        <a:prstGeom prst="rect">
          <a:avLst/>
        </a:prstGeom>
      </xdr:spPr>
    </xdr:pic>
    <xdr:clientData/>
  </xdr:twoCellAnchor>
  <xdr:twoCellAnchor>
    <xdr:from>
      <xdr:col>6</xdr:col>
      <xdr:colOff>444503</xdr:colOff>
      <xdr:row>1</xdr:row>
      <xdr:rowOff>21167</xdr:rowOff>
    </xdr:from>
    <xdr:to>
      <xdr:col>6</xdr:col>
      <xdr:colOff>1365253</xdr:colOff>
      <xdr:row>1</xdr:row>
      <xdr:rowOff>211667</xdr:rowOff>
    </xdr:to>
    <xdr:sp macro="" textlink="">
      <xdr:nvSpPr>
        <xdr:cNvPr id="3" name="TextBox 2">
          <a:hlinkClick xmlns:r="http://schemas.openxmlformats.org/officeDocument/2006/relationships" r:id="rId4"/>
          <a:extLst>
            <a:ext uri="{FF2B5EF4-FFF2-40B4-BE49-F238E27FC236}">
              <a16:creationId xmlns:a16="http://schemas.microsoft.com/office/drawing/2014/main" id="{92E93FFC-B765-4CD6-BA20-BECC828FF0B6}"/>
            </a:ext>
          </a:extLst>
        </xdr:cNvPr>
        <xdr:cNvSpPr txBox="1"/>
      </xdr:nvSpPr>
      <xdr:spPr>
        <a:xfrm>
          <a:off x="9906003" y="56445"/>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285044</xdr:colOff>
      <xdr:row>3</xdr:row>
      <xdr:rowOff>45948</xdr:rowOff>
    </xdr:to>
    <xdr:pic>
      <xdr:nvPicPr>
        <xdr:cNvPr id="4" name="Picture 3" descr="A blue and black logo&#10;&#10;Description automatically generated">
          <a:extLst>
            <a:ext uri="{FF2B5EF4-FFF2-40B4-BE49-F238E27FC236}">
              <a16:creationId xmlns:a16="http://schemas.microsoft.com/office/drawing/2014/main" id="{C32B3B0A-4ABB-450C-B077-6871D5E04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3600" cy="474926"/>
        </a:xfrm>
        <a:prstGeom prst="rect">
          <a:avLst/>
        </a:prstGeom>
      </xdr:spPr>
    </xdr:pic>
    <xdr:clientData/>
  </xdr:twoCellAnchor>
  <xdr:twoCellAnchor>
    <xdr:from>
      <xdr:col>5</xdr:col>
      <xdr:colOff>189794</xdr:colOff>
      <xdr:row>1</xdr:row>
      <xdr:rowOff>25400</xdr:rowOff>
    </xdr:from>
    <xdr:to>
      <xdr:col>5</xdr:col>
      <xdr:colOff>1110544</xdr:colOff>
      <xdr:row>2</xdr:row>
      <xdr:rowOff>38100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38B1493-6EFC-43BB-BBBC-12D8D313E45C}"/>
            </a:ext>
          </a:extLst>
        </xdr:cNvPr>
        <xdr:cNvSpPr txBox="1"/>
      </xdr:nvSpPr>
      <xdr:spPr>
        <a:xfrm>
          <a:off x="9086850" y="60678"/>
          <a:ext cx="920750" cy="231422"/>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25CC8D0-DA18-459C-A842-F353C4256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35278"/>
          <a:ext cx="860777" cy="483392"/>
        </a:xfrm>
        <a:prstGeom prst="rect">
          <a:avLst/>
        </a:prstGeom>
      </xdr:spPr>
    </xdr:pic>
    <xdr:clientData/>
  </xdr:twoCellAnchor>
  <xdr:twoCellAnchor>
    <xdr:from>
      <xdr:col>14</xdr:col>
      <xdr:colOff>419100</xdr:colOff>
      <xdr:row>1</xdr:row>
      <xdr:rowOff>25400</xdr:rowOff>
    </xdr:from>
    <xdr:to>
      <xdr:col>15</xdr:col>
      <xdr:colOff>660400</xdr:colOff>
      <xdr:row>2</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E82EDDAD-48CF-5777-E9AE-E9062E875D35}"/>
            </a:ext>
          </a:extLst>
        </xdr:cNvPr>
        <xdr:cNvSpPr txBox="1"/>
      </xdr:nvSpPr>
      <xdr:spPr>
        <a:xfrm>
          <a:off x="9709150" y="63500"/>
          <a:ext cx="920750" cy="190500"/>
        </a:xfrm>
        <a:prstGeom prst="round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45720" rIns="45720" rtlCol="0" anchor="ctr" anchorCtr="0"/>
        <a:lstStyle/>
        <a:p>
          <a:pPr algn="ctr"/>
          <a:r>
            <a:rPr lang="en-US" sz="900">
              <a:solidFill>
                <a:schemeClr val="bg1"/>
              </a:solidFill>
              <a:latin typeface="TT Commons" panose="02000506040000020004" pitchFamily="2" charset="0"/>
            </a:rPr>
            <a:t>Back 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860074</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1789CD5E-D782-419D-AC58-B9ECB70F1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072" cy="483393"/>
        </a:xfrm>
        <a:prstGeom prst="rect">
          <a:avLst/>
        </a:prstGeom>
      </xdr:spPr>
    </xdr:pic>
    <xdr:clientData/>
  </xdr:twoCellAnchor>
  <xdr:twoCellAnchor>
    <xdr:from>
      <xdr:col>14</xdr:col>
      <xdr:colOff>445245</xdr:colOff>
      <xdr:row>1</xdr:row>
      <xdr:rowOff>22413</xdr:rowOff>
    </xdr:from>
    <xdr:to>
      <xdr:col>15</xdr:col>
      <xdr:colOff>672351</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E0E5167-3EC3-4FE6-840A-9A4EB92028EC}"/>
            </a:ext>
          </a:extLst>
        </xdr:cNvPr>
        <xdr:cNvSpPr txBox="1"/>
      </xdr:nvSpPr>
      <xdr:spPr>
        <a:xfrm>
          <a:off x="10142069"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B14A4A4-1EC5-4A8C-ACDF-F15B305D6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433302</xdr:colOff>
      <xdr:row>1</xdr:row>
      <xdr:rowOff>22413</xdr:rowOff>
    </xdr:from>
    <xdr:to>
      <xdr:col>15</xdr:col>
      <xdr:colOff>660407</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D3B1A0A-6C24-4956-B04C-5522F29333B1}"/>
            </a:ext>
          </a:extLst>
        </xdr:cNvPr>
        <xdr:cNvSpPr txBox="1"/>
      </xdr:nvSpPr>
      <xdr:spPr>
        <a:xfrm>
          <a:off x="10137596"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E3D662A6-28EE-4713-A00A-CA7F3FF46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433296</xdr:colOff>
      <xdr:row>1</xdr:row>
      <xdr:rowOff>29884</xdr:rowOff>
    </xdr:from>
    <xdr:to>
      <xdr:col>15</xdr:col>
      <xdr:colOff>660402</xdr:colOff>
      <xdr:row>2</xdr:row>
      <xdr:rowOff>3737</xdr:rowOff>
    </xdr:to>
    <xdr:sp macro="" textlink="">
      <xdr:nvSpPr>
        <xdr:cNvPr id="3" name="TextBox 2">
          <a:hlinkClick xmlns:r="http://schemas.openxmlformats.org/officeDocument/2006/relationships" r:id="rId2"/>
          <a:extLst>
            <a:ext uri="{FF2B5EF4-FFF2-40B4-BE49-F238E27FC236}">
              <a16:creationId xmlns:a16="http://schemas.microsoft.com/office/drawing/2014/main" id="{AAA893F7-6294-4789-829C-22D09929CE8F}"/>
            </a:ext>
          </a:extLst>
        </xdr:cNvPr>
        <xdr:cNvSpPr txBox="1"/>
      </xdr:nvSpPr>
      <xdr:spPr>
        <a:xfrm>
          <a:off x="10085296" y="72217"/>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417</xdr:colOff>
      <xdr:row>1</xdr:row>
      <xdr:rowOff>0</xdr:rowOff>
    </xdr:from>
    <xdr:to>
      <xdr:col>1</xdr:col>
      <xdr:colOff>863685</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3341E5B0-55B3-4CBF-BBC4-3A7D7CEA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95" y="42333"/>
          <a:ext cx="863268" cy="483393"/>
        </a:xfrm>
        <a:prstGeom prst="rect">
          <a:avLst/>
        </a:prstGeom>
      </xdr:spPr>
    </xdr:pic>
    <xdr:clientData/>
  </xdr:twoCellAnchor>
  <xdr:twoCellAnchor>
    <xdr:from>
      <xdr:col>14</xdr:col>
      <xdr:colOff>432793</xdr:colOff>
      <xdr:row>1</xdr:row>
      <xdr:rowOff>22415</xdr:rowOff>
    </xdr:from>
    <xdr:to>
      <xdr:col>15</xdr:col>
      <xdr:colOff>657409</xdr:colOff>
      <xdr:row>1</xdr:row>
      <xdr:rowOff>214991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9758DF93-F242-4591-A5E7-1284C6609FA6}"/>
            </a:ext>
          </a:extLst>
        </xdr:cNvPr>
        <xdr:cNvSpPr txBox="1"/>
      </xdr:nvSpPr>
      <xdr:spPr>
        <a:xfrm>
          <a:off x="10346264" y="67239"/>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nancial%20Data%20Master.xlsx" TargetMode="External"/><Relationship Id="rId2" Type="http://schemas.openxmlformats.org/officeDocument/2006/relationships/externalLinkPath" Target="https://tabreedae-my.sharepoint.com/personal/ysuneja_tabreed_ae/Documents/Investor%20Relations/Disclosures/Results/Financial%20Data%20Master.xlsx" TargetMode="External"/><Relationship Id="rId1" Type="http://schemas.openxmlformats.org/officeDocument/2006/relationships/externalLinkPath" Target="/personal/ysuneja_tabreed_ae/Documents/Investor%20Relations/Disclosures/Results/Financial%20Data%20Mas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suneja\AppData\Roaming\Microsoft\Excel\Financial%2520Data%2520Master%20(version%201).xlsb" TargetMode="External"/><Relationship Id="rId1" Type="http://schemas.openxmlformats.org/officeDocument/2006/relationships/externalLinkPath" Target="file:///C:\Users\ysuneja\AppData\Roaming\Microsoft\Excel\Financial%2520Data%2520Master%20(version%20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2024/Q2%202024/Financials/Tabreed%20Consolidation%20Model%20Q2%202024.xlsx" TargetMode="External"/><Relationship Id="rId1" Type="http://schemas.openxmlformats.org/officeDocument/2006/relationships/externalLinkPath" Target="Financials/Tabreed%20Consolidation%20Model%20Q2%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Financial Data&gt;"/>
      <sheetName val="Master"/>
      <sheetName val="Graph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row r="32">
          <cell r="AO32" t="str">
            <v>Q3 2022</v>
          </cell>
        </row>
        <row r="33">
          <cell r="AO33">
            <v>33011</v>
          </cell>
        </row>
        <row r="34">
          <cell r="AO34">
            <v>3500</v>
          </cell>
        </row>
        <row r="35">
          <cell r="AO35">
            <v>104424</v>
          </cell>
        </row>
        <row r="36">
          <cell r="AO36">
            <v>148035</v>
          </cell>
        </row>
        <row r="37">
          <cell r="AO37">
            <v>34468</v>
          </cell>
        </row>
        <row r="38">
          <cell r="AO38">
            <v>11538</v>
          </cell>
        </row>
        <row r="39">
          <cell r="AO39">
            <v>8730</v>
          </cell>
        </row>
        <row r="40">
          <cell r="AO40">
            <v>2200</v>
          </cell>
        </row>
        <row r="41">
          <cell r="AO41">
            <v>19692</v>
          </cell>
        </row>
        <row r="42">
          <cell r="AO42">
            <v>750</v>
          </cell>
        </row>
        <row r="43">
          <cell r="AO43">
            <v>32710</v>
          </cell>
        </row>
        <row r="44">
          <cell r="AO44">
            <v>-4615</v>
          </cell>
        </row>
        <row r="45">
          <cell r="AO45">
            <v>902.5</v>
          </cell>
        </row>
        <row r="46">
          <cell r="AO46">
            <v>2400</v>
          </cell>
        </row>
        <row r="47">
          <cell r="AO47">
            <v>15528</v>
          </cell>
        </row>
        <row r="48">
          <cell r="AO48">
            <v>8400</v>
          </cell>
        </row>
        <row r="49">
          <cell r="AO49">
            <v>0</v>
          </cell>
        </row>
        <row r="50">
          <cell r="AO50">
            <v>0</v>
          </cell>
        </row>
        <row r="51">
          <cell r="AO51">
            <v>0</v>
          </cell>
        </row>
        <row r="52">
          <cell r="AO52">
            <v>171574</v>
          </cell>
        </row>
        <row r="55">
          <cell r="AO55">
            <v>0</v>
          </cell>
        </row>
        <row r="56">
          <cell r="AO56">
            <v>33950</v>
          </cell>
        </row>
        <row r="57">
          <cell r="AO57">
            <v>55958</v>
          </cell>
        </row>
        <row r="60">
          <cell r="AO60">
            <v>224482</v>
          </cell>
        </row>
        <row r="61">
          <cell r="AO61">
            <v>0</v>
          </cell>
        </row>
        <row r="62">
          <cell r="AO62">
            <v>6225</v>
          </cell>
        </row>
        <row r="63">
          <cell r="AO63">
            <v>12227</v>
          </cell>
        </row>
        <row r="64">
          <cell r="AO64">
            <v>0</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YTD Summary Result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sheetData sheetId="8">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164971</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row r="64">
          <cell r="AO64">
            <v>1500</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 slides"/>
      <sheetName val="Historic Amended"/>
      <sheetName val="CT Computation-1"/>
      <sheetName val="CT Computation -2"/>
      <sheetName val="analyst presentation (2)"/>
      <sheetName val="analyst presentation"/>
      <sheetName val="AC slides Rounded"/>
      <sheetName val="Underlying Business"/>
      <sheetName val="Historic"/>
      <sheetName val="CT Computation (2)"/>
      <sheetName val="IS_m"/>
      <sheetName val="IS"/>
      <sheetName val="BS"/>
      <sheetName val="SOCE"/>
      <sheetName val="Sgmnntl"/>
      <sheetName val="BS Notes"/>
      <sheetName val="CFS"/>
      <sheetName val="Income St. Notes"/>
      <sheetName val="statsacc"/>
      <sheetName val="ConTB"/>
      <sheetName val="AEDTB"/>
      <sheetName val="FV"/>
      <sheetName val="J1"/>
      <sheetName val="J3"/>
      <sheetName val="J2"/>
      <sheetName val="TBworkings"/>
      <sheetName val="Inter. eliminations"/>
      <sheetName val="Segmntl 2"/>
      <sheetName val="TBworkings _AED"/>
      <sheetName val="Sub movement"/>
      <sheetName val="TBworkings consolidated"/>
      <sheetName val="SourceTB"/>
      <sheetName val="Ass &amp; JVs  Movments"/>
      <sheetName val="Check sheet"/>
      <sheetName val="mngt report reco"/>
      <sheetName val="JVS"/>
      <sheetName val="AL Maryah"/>
      <sheetName val="UAE CB Exchange rate"/>
      <sheetName val="Top sheet"/>
      <sheetName val="Mapping"/>
      <sheetName val="Check- Pivot"/>
      <sheetName val="Conso-Check Sheet"/>
      <sheetName val="Sheet2"/>
      <sheetName val="Mngt rept workings"/>
      <sheetName val="Mngt reporting "/>
      <sheetName val="mngt report 2 (2)"/>
      <sheetName val="GM BU Elimination"/>
      <sheetName val="PCs"/>
      <sheetName val="Sheet3"/>
      <sheetName val="Other BUS"/>
      <sheetName val="PCs Types"/>
      <sheetName val="DT Q2 2024"/>
      <sheetName val="O&amp;M Bus"/>
      <sheetName val="exchng rate "/>
      <sheetName val="GVMeta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National Central Cooling Company PJSC</v>
          </cell>
        </row>
      </sheetData>
      <sheetData sheetId="12">
        <row r="1">
          <cell r="A1" t="str">
            <v>National Central Cooling Company PJSC</v>
          </cell>
        </row>
      </sheetData>
      <sheetData sheetId="13" refreshError="1"/>
      <sheetData sheetId="14">
        <row r="1">
          <cell r="C1" t="str">
            <v>H1 2024</v>
          </cell>
        </row>
      </sheetData>
      <sheetData sheetId="15">
        <row r="1">
          <cell r="A1" t="str">
            <v>National Central Cooling Company PJSC</v>
          </cell>
        </row>
      </sheetData>
      <sheetData sheetId="16">
        <row r="1">
          <cell r="A1" t="str">
            <v>National Central Cooling Company PJSC</v>
          </cell>
        </row>
      </sheetData>
      <sheetData sheetId="17">
        <row r="1">
          <cell r="A1" t="str">
            <v>National Central Cooling Company PJSC</v>
          </cell>
          <cell r="F1" t="str">
            <v>H1 2024</v>
          </cell>
          <cell r="G1" t="str">
            <v>H1 2023</v>
          </cell>
        </row>
        <row r="2">
          <cell r="A2" t="str">
            <v xml:space="preserve">Notes to the Financial Statements </v>
          </cell>
        </row>
        <row r="3">
          <cell r="A3" t="str">
            <v>Income Statement Notes</v>
          </cell>
        </row>
        <row r="6">
          <cell r="B6" t="str">
            <v>Revenue</v>
          </cell>
          <cell r="F6">
            <v>45473</v>
          </cell>
          <cell r="G6">
            <v>45107</v>
          </cell>
          <cell r="O6" t="str">
            <v>NCCC</v>
          </cell>
          <cell r="P6" t="str">
            <v>SDCC</v>
          </cell>
          <cell r="Q6" t="str">
            <v>TRAK</v>
          </cell>
          <cell r="R6" t="str">
            <v>TPI</v>
          </cell>
          <cell r="S6" t="str">
            <v>S&amp;T</v>
          </cell>
          <cell r="T6" t="str">
            <v>PDC</v>
          </cell>
          <cell r="U6" t="str">
            <v>DUEI</v>
          </cell>
          <cell r="V6" t="str">
            <v>TOMCO</v>
          </cell>
        </row>
        <row r="7">
          <cell r="F7">
            <v>2024</v>
          </cell>
          <cell r="G7">
            <v>2023</v>
          </cell>
        </row>
        <row r="8">
          <cell r="F8" t="str">
            <v>AED ‘000</v>
          </cell>
          <cell r="G8" t="str">
            <v>AED ‘000</v>
          </cell>
          <cell r="O8" t="str">
            <v>NCCC</v>
          </cell>
          <cell r="P8" t="str">
            <v>SDCC</v>
          </cell>
          <cell r="Q8" t="str">
            <v>TRAK</v>
          </cell>
          <cell r="R8" t="str">
            <v>TPI</v>
          </cell>
          <cell r="S8" t="str">
            <v>S&amp;T</v>
          </cell>
          <cell r="T8" t="str">
            <v>PDC</v>
          </cell>
          <cell r="U8" t="str">
            <v>DUEI</v>
          </cell>
          <cell r="V8" t="str">
            <v>TOMCO</v>
          </cell>
        </row>
        <row r="9">
          <cell r="B9" t="str">
            <v>Supply of chilled water</v>
          </cell>
          <cell r="F9">
            <v>868320</v>
          </cell>
          <cell r="G9">
            <v>831247</v>
          </cell>
          <cell r="O9">
            <v>432967</v>
          </cell>
          <cell r="P9">
            <v>20032</v>
          </cell>
          <cell r="Q9">
            <v>8746</v>
          </cell>
          <cell r="R9">
            <v>0</v>
          </cell>
          <cell r="S9">
            <v>29409</v>
          </cell>
          <cell r="T9">
            <v>8018</v>
          </cell>
          <cell r="U9">
            <v>0</v>
          </cell>
          <cell r="V9">
            <v>0</v>
          </cell>
        </row>
        <row r="10">
          <cell r="B10" t="str">
            <v xml:space="preserve">Finance lease income </v>
          </cell>
          <cell r="F10">
            <v>119444</v>
          </cell>
          <cell r="G10">
            <v>148768</v>
          </cell>
          <cell r="O10">
            <v>114036</v>
          </cell>
          <cell r="P10">
            <v>0</v>
          </cell>
          <cell r="Q10">
            <v>0</v>
          </cell>
          <cell r="R10">
            <v>0</v>
          </cell>
          <cell r="S10">
            <v>0</v>
          </cell>
          <cell r="T10">
            <v>0</v>
          </cell>
          <cell r="U10">
            <v>0</v>
          </cell>
          <cell r="V10">
            <v>0</v>
          </cell>
        </row>
        <row r="11">
          <cell r="B11" t="str">
            <v xml:space="preserve">Operating lease income </v>
          </cell>
          <cell r="F11">
            <v>38585</v>
          </cell>
          <cell r="G11">
            <v>38638</v>
          </cell>
          <cell r="H11">
            <v>0</v>
          </cell>
          <cell r="O11">
            <v>38585</v>
          </cell>
          <cell r="P11">
            <v>0</v>
          </cell>
          <cell r="Q11">
            <v>0</v>
          </cell>
          <cell r="R11">
            <v>0</v>
          </cell>
          <cell r="S11">
            <v>0</v>
          </cell>
          <cell r="T11">
            <v>0</v>
          </cell>
          <cell r="U11">
            <v>0</v>
          </cell>
          <cell r="V11">
            <v>0</v>
          </cell>
        </row>
        <row r="12">
          <cell r="B12" t="str">
            <v>Connection fees income</v>
          </cell>
          <cell r="F12">
            <v>8224</v>
          </cell>
          <cell r="G12">
            <v>7672</v>
          </cell>
          <cell r="O12">
            <v>4229</v>
          </cell>
          <cell r="P12">
            <v>275</v>
          </cell>
          <cell r="Q12">
            <v>120</v>
          </cell>
          <cell r="R12">
            <v>0</v>
          </cell>
          <cell r="S12">
            <v>528</v>
          </cell>
          <cell r="T12">
            <v>0</v>
          </cell>
          <cell r="U12">
            <v>0</v>
          </cell>
          <cell r="V12">
            <v>0</v>
          </cell>
        </row>
        <row r="13">
          <cell r="B13" t="str">
            <v>Contracting revenue</v>
          </cell>
          <cell r="F13">
            <v>0</v>
          </cell>
          <cell r="G13">
            <v>0</v>
          </cell>
          <cell r="O13">
            <v>0</v>
          </cell>
          <cell r="P13">
            <v>0</v>
          </cell>
          <cell r="Q13">
            <v>0</v>
          </cell>
          <cell r="R13">
            <v>0</v>
          </cell>
          <cell r="S13">
            <v>0</v>
          </cell>
          <cell r="T13">
            <v>0</v>
          </cell>
          <cell r="U13">
            <v>0</v>
          </cell>
          <cell r="V13">
            <v>0</v>
          </cell>
        </row>
        <row r="14">
          <cell r="B14" t="str">
            <v>Manufacturing revenue</v>
          </cell>
          <cell r="F14">
            <v>20802</v>
          </cell>
          <cell r="G14">
            <v>23289</v>
          </cell>
          <cell r="O14">
            <v>0</v>
          </cell>
          <cell r="P14">
            <v>0</v>
          </cell>
          <cell r="Q14">
            <v>0</v>
          </cell>
          <cell r="R14">
            <v>0</v>
          </cell>
          <cell r="S14">
            <v>0</v>
          </cell>
          <cell r="T14">
            <v>0</v>
          </cell>
          <cell r="U14">
            <v>0</v>
          </cell>
          <cell r="V14">
            <v>0</v>
          </cell>
        </row>
        <row r="15">
          <cell r="B15" t="str">
            <v>Services</v>
          </cell>
          <cell r="F15">
            <v>24176</v>
          </cell>
          <cell r="G15">
            <v>17873</v>
          </cell>
          <cell r="O15">
            <v>0</v>
          </cell>
          <cell r="P15">
            <v>0</v>
          </cell>
          <cell r="Q15">
            <v>0</v>
          </cell>
          <cell r="R15">
            <v>0</v>
          </cell>
          <cell r="S15">
            <v>0</v>
          </cell>
          <cell r="T15">
            <v>0</v>
          </cell>
          <cell r="U15">
            <v>0</v>
          </cell>
          <cell r="V15">
            <v>0</v>
          </cell>
        </row>
        <row r="16">
          <cell r="B16" t="str">
            <v>Total</v>
          </cell>
          <cell r="F16">
            <v>1079551</v>
          </cell>
          <cell r="G16">
            <v>1067487</v>
          </cell>
          <cell r="O16">
            <v>589817</v>
          </cell>
          <cell r="P16">
            <v>20307</v>
          </cell>
          <cell r="Q16">
            <v>8866</v>
          </cell>
          <cell r="R16">
            <v>0</v>
          </cell>
          <cell r="S16">
            <v>29937</v>
          </cell>
          <cell r="T16">
            <v>8018</v>
          </cell>
          <cell r="U16">
            <v>0</v>
          </cell>
          <cell r="V16">
            <v>0</v>
          </cell>
        </row>
        <row r="17">
          <cell r="B17" t="str">
            <v>Check</v>
          </cell>
          <cell r="F17">
            <v>0</v>
          </cell>
          <cell r="G17">
            <v>0</v>
          </cell>
        </row>
        <row r="18">
          <cell r="N18">
            <v>0</v>
          </cell>
        </row>
        <row r="21">
          <cell r="F21">
            <v>45473</v>
          </cell>
          <cell r="G21">
            <v>45107</v>
          </cell>
        </row>
        <row r="22">
          <cell r="B22" t="str">
            <v>Revenues</v>
          </cell>
          <cell r="F22">
            <v>2024</v>
          </cell>
          <cell r="G22">
            <v>2023</v>
          </cell>
        </row>
        <row r="23">
          <cell r="F23" t="str">
            <v>AED ‘000</v>
          </cell>
          <cell r="G23" t="str">
            <v>AED ‘000</v>
          </cell>
          <cell r="O23" t="str">
            <v>NCCC</v>
          </cell>
          <cell r="P23" t="str">
            <v>SDCC</v>
          </cell>
          <cell r="Q23" t="str">
            <v>TRAK</v>
          </cell>
          <cell r="R23" t="str">
            <v>TPI</v>
          </cell>
          <cell r="S23" t="str">
            <v>S&amp;T</v>
          </cell>
          <cell r="T23" t="str">
            <v>PDC</v>
          </cell>
          <cell r="U23" t="str">
            <v>DUEI</v>
          </cell>
          <cell r="V23" t="str">
            <v>TOMCO</v>
          </cell>
        </row>
        <row r="24">
          <cell r="B24" t="str">
            <v>United Arab Emirates</v>
          </cell>
          <cell r="F24">
            <v>1023001</v>
          </cell>
          <cell r="G24">
            <v>1014487</v>
          </cell>
          <cell r="O24">
            <v>589817</v>
          </cell>
          <cell r="P24">
            <v>20307</v>
          </cell>
          <cell r="Q24">
            <v>8866</v>
          </cell>
          <cell r="R24">
            <v>0</v>
          </cell>
          <cell r="S24">
            <v>29937</v>
          </cell>
          <cell r="T24">
            <v>8018</v>
          </cell>
          <cell r="U24">
            <v>0</v>
          </cell>
          <cell r="V24">
            <v>0</v>
          </cell>
        </row>
        <row r="25">
          <cell r="B25" t="str">
            <v>Others</v>
          </cell>
          <cell r="F25">
            <v>56550</v>
          </cell>
          <cell r="G25">
            <v>53000</v>
          </cell>
          <cell r="O25">
            <v>0</v>
          </cell>
          <cell r="P25">
            <v>0</v>
          </cell>
          <cell r="Q25">
            <v>0</v>
          </cell>
          <cell r="R25">
            <v>0</v>
          </cell>
          <cell r="S25">
            <v>0</v>
          </cell>
          <cell r="T25">
            <v>0</v>
          </cell>
          <cell r="U25">
            <v>0</v>
          </cell>
          <cell r="V25">
            <v>0</v>
          </cell>
        </row>
        <row r="26">
          <cell r="B26" t="str">
            <v>Total Revenue</v>
          </cell>
          <cell r="F26">
            <v>1079551</v>
          </cell>
          <cell r="G26">
            <v>1067487</v>
          </cell>
          <cell r="O26">
            <v>589817</v>
          </cell>
          <cell r="P26">
            <v>20307</v>
          </cell>
          <cell r="Q26">
            <v>8866</v>
          </cell>
          <cell r="R26">
            <v>0</v>
          </cell>
          <cell r="S26">
            <v>29937</v>
          </cell>
          <cell r="T26">
            <v>8018</v>
          </cell>
          <cell r="U26">
            <v>0</v>
          </cell>
          <cell r="V26">
            <v>0</v>
          </cell>
        </row>
        <row r="27">
          <cell r="F27">
            <v>0</v>
          </cell>
          <cell r="G27">
            <v>0</v>
          </cell>
        </row>
        <row r="28">
          <cell r="B28" t="str">
            <v xml:space="preserve">UAE customer base </v>
          </cell>
          <cell r="F28">
            <v>0.94761711118789205</v>
          </cell>
          <cell r="G28">
            <v>0.95035068342752649</v>
          </cell>
        </row>
        <row r="31">
          <cell r="B31" t="str">
            <v>Biggest Three Customers</v>
          </cell>
          <cell r="E31">
            <v>2024</v>
          </cell>
        </row>
        <row r="32">
          <cell r="E32" t="str">
            <v>AED '000</v>
          </cell>
          <cell r="F32" t="str">
            <v>AED '000</v>
          </cell>
          <cell r="G32" t="str">
            <v>AED '000</v>
          </cell>
        </row>
        <row r="33">
          <cell r="E33" t="str">
            <v>Chiled water</v>
          </cell>
          <cell r="F33" t="str">
            <v>VCB</v>
          </cell>
          <cell r="G33" t="str">
            <v>Total</v>
          </cell>
          <cell r="O33" t="str">
            <v>NCCC</v>
          </cell>
          <cell r="P33" t="str">
            <v>SDCC</v>
          </cell>
          <cell r="Q33" t="str">
            <v>TRAK</v>
          </cell>
          <cell r="R33" t="str">
            <v>TPI</v>
          </cell>
          <cell r="S33" t="str">
            <v>S&amp;T</v>
          </cell>
          <cell r="T33" t="str">
            <v>PDC</v>
          </cell>
          <cell r="U33" t="str">
            <v>DUEI</v>
          </cell>
          <cell r="V33" t="str">
            <v>TOMCO</v>
          </cell>
        </row>
        <row r="34">
          <cell r="A34" t="str">
            <v>GHQ</v>
          </cell>
          <cell r="B34" t="str">
            <v>Customer 1</v>
          </cell>
          <cell r="E34">
            <v>423131</v>
          </cell>
          <cell r="H34" t="str">
            <v>Refer wrokings</v>
          </cell>
          <cell r="O34">
            <v>0</v>
          </cell>
          <cell r="P34">
            <v>0</v>
          </cell>
          <cell r="Q34">
            <v>0</v>
          </cell>
          <cell r="R34">
            <v>0</v>
          </cell>
          <cell r="S34">
            <v>0</v>
          </cell>
          <cell r="T34">
            <v>0</v>
          </cell>
          <cell r="U34">
            <v>0</v>
          </cell>
          <cell r="V34">
            <v>0</v>
          </cell>
        </row>
        <row r="35">
          <cell r="A35" t="str">
            <v>RTA</v>
          </cell>
          <cell r="B35" t="str">
            <v>Customer 2</v>
          </cell>
          <cell r="E35">
            <v>293610</v>
          </cell>
          <cell r="H35" t="str">
            <v>Refer wrokings</v>
          </cell>
          <cell r="O35">
            <v>0</v>
          </cell>
          <cell r="P35">
            <v>0</v>
          </cell>
          <cell r="Q35">
            <v>0</v>
          </cell>
          <cell r="R35">
            <v>0</v>
          </cell>
          <cell r="S35">
            <v>0</v>
          </cell>
          <cell r="T35">
            <v>0</v>
          </cell>
          <cell r="U35">
            <v>0</v>
          </cell>
          <cell r="V35">
            <v>0</v>
          </cell>
        </row>
        <row r="36">
          <cell r="A36" t="str">
            <v>Emaar</v>
          </cell>
          <cell r="B36" t="str">
            <v>Customer 3</v>
          </cell>
          <cell r="E36">
            <v>397722</v>
          </cell>
          <cell r="H36" t="str">
            <v>Refer wrokings</v>
          </cell>
          <cell r="O36">
            <v>0</v>
          </cell>
          <cell r="P36">
            <v>0</v>
          </cell>
          <cell r="Q36">
            <v>0</v>
          </cell>
          <cell r="R36">
            <v>0</v>
          </cell>
          <cell r="S36">
            <v>0</v>
          </cell>
          <cell r="T36">
            <v>0</v>
          </cell>
          <cell r="U36">
            <v>0</v>
          </cell>
          <cell r="V36">
            <v>0</v>
          </cell>
        </row>
        <row r="37">
          <cell r="B37" t="str">
            <v>Total</v>
          </cell>
          <cell r="E37">
            <v>1114463</v>
          </cell>
          <cell r="O37">
            <v>0</v>
          </cell>
          <cell r="P37">
            <v>0</v>
          </cell>
          <cell r="Q37">
            <v>0</v>
          </cell>
          <cell r="R37">
            <v>0</v>
          </cell>
          <cell r="S37">
            <v>0</v>
          </cell>
          <cell r="T37">
            <v>0</v>
          </cell>
          <cell r="U37">
            <v>0</v>
          </cell>
          <cell r="V37">
            <v>0</v>
          </cell>
        </row>
        <row r="40">
          <cell r="B40" t="str">
            <v>Operating Cost</v>
          </cell>
          <cell r="F40">
            <v>45473</v>
          </cell>
          <cell r="G40">
            <v>45107</v>
          </cell>
        </row>
        <row r="41">
          <cell r="F41">
            <v>2024</v>
          </cell>
          <cell r="G41">
            <v>2023</v>
          </cell>
        </row>
        <row r="42">
          <cell r="F42" t="str">
            <v>AED ‘000</v>
          </cell>
          <cell r="G42" t="str">
            <v>AED ‘000</v>
          </cell>
          <cell r="O42" t="str">
            <v>NCCC</v>
          </cell>
          <cell r="P42" t="str">
            <v>SDCC</v>
          </cell>
          <cell r="Q42" t="str">
            <v>TRAK</v>
          </cell>
          <cell r="R42" t="str">
            <v>TPI</v>
          </cell>
          <cell r="S42" t="str">
            <v>S&amp;T</v>
          </cell>
          <cell r="T42" t="str">
            <v>PDC</v>
          </cell>
          <cell r="U42" t="str">
            <v>DUEI</v>
          </cell>
          <cell r="V42" t="str">
            <v>TOMCO</v>
          </cell>
        </row>
        <row r="43">
          <cell r="B43" t="str">
            <v xml:space="preserve">Costs of inventories recognised as an expense </v>
          </cell>
          <cell r="F43">
            <v>28958</v>
          </cell>
          <cell r="G43">
            <v>29602</v>
          </cell>
          <cell r="H43">
            <v>-644</v>
          </cell>
          <cell r="O43">
            <v>8118.06</v>
          </cell>
          <cell r="P43">
            <v>297.44</v>
          </cell>
          <cell r="Q43">
            <v>38.200000000000003</v>
          </cell>
          <cell r="R43">
            <v>0</v>
          </cell>
          <cell r="S43">
            <v>128.91</v>
          </cell>
          <cell r="T43">
            <v>0</v>
          </cell>
          <cell r="U43">
            <v>0</v>
          </cell>
          <cell r="V43">
            <v>-4.79</v>
          </cell>
        </row>
      </sheetData>
      <sheetData sheetId="18">
        <row r="7">
          <cell r="B7" t="str">
            <v>TB Currency</v>
          </cell>
        </row>
      </sheetData>
      <sheetData sheetId="19" refreshError="1"/>
      <sheetData sheetId="20" refreshError="1"/>
      <sheetData sheetId="21" refreshError="1"/>
      <sheetData sheetId="22" refreshError="1"/>
      <sheetData sheetId="23" refreshError="1"/>
      <sheetData sheetId="24" refreshError="1"/>
      <sheetData sheetId="25">
        <row r="3">
          <cell r="D3" t="str">
            <v>GL Description</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646E1CF-E5F4-461E-8677-BC14793B6D05}">
  <we:reference id="f53bac05-48fe-4cc3-97fd-89712d4c6174" version="1.0.0.0" store="developer" storeType="Registry"/>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breed.ae/investor-relations"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856F-B031-4979-9976-23BF2CF2909D}">
  <dimension ref="A1:W50"/>
  <sheetViews>
    <sheetView showGridLines="0" showRowColHeaders="0" tabSelected="1" zoomScaleNormal="100" workbookViewId="0"/>
  </sheetViews>
  <sheetFormatPr defaultColWidth="0" defaultRowHeight="13" zeroHeight="1"/>
  <cols>
    <col min="1" max="1" width="0.5" customWidth="1"/>
    <col min="2" max="14" width="8.69921875" customWidth="1"/>
    <col min="15" max="22" width="8.796875" customWidth="1"/>
    <col min="23" max="23" width="0.59765625" customWidth="1"/>
    <col min="24" max="16384" width="8.796875" hidden="1"/>
  </cols>
  <sheetData>
    <row r="1" spans="1:23" ht="3.5" customHeight="1">
      <c r="A1" s="179"/>
      <c r="B1" s="179"/>
      <c r="C1" s="179"/>
      <c r="D1" s="179"/>
      <c r="E1" s="179"/>
      <c r="F1" s="179"/>
      <c r="G1" s="179"/>
      <c r="H1" s="179"/>
      <c r="I1" s="179"/>
      <c r="J1" s="179"/>
      <c r="K1" s="179"/>
      <c r="L1" s="179"/>
      <c r="M1" s="179"/>
      <c r="N1" s="179"/>
      <c r="O1" s="179"/>
      <c r="P1" s="179"/>
      <c r="Q1" s="179"/>
      <c r="R1" s="179"/>
      <c r="S1" s="179"/>
      <c r="T1" s="179"/>
      <c r="U1" s="179"/>
      <c r="V1" s="179"/>
      <c r="W1" s="179"/>
    </row>
    <row r="2" spans="1:23">
      <c r="A2" s="179"/>
      <c r="S2" s="394" t="s">
        <v>541</v>
      </c>
      <c r="T2" s="395"/>
      <c r="U2" s="395"/>
      <c r="W2" s="179"/>
    </row>
    <row r="3" spans="1:23">
      <c r="A3" s="179"/>
      <c r="S3" s="394" t="s">
        <v>542</v>
      </c>
      <c r="T3" s="395"/>
      <c r="U3" s="395"/>
      <c r="W3" s="179"/>
    </row>
    <row r="4" spans="1:23">
      <c r="A4" s="179"/>
      <c r="W4" s="179"/>
    </row>
    <row r="5" spans="1:23">
      <c r="A5" s="179"/>
      <c r="W5" s="179"/>
    </row>
    <row r="6" spans="1:23">
      <c r="A6" s="179"/>
      <c r="W6" s="179"/>
    </row>
    <row r="7" spans="1:23">
      <c r="A7" s="179"/>
      <c r="W7" s="179"/>
    </row>
    <row r="8" spans="1:23">
      <c r="A8" s="179"/>
      <c r="R8" s="26"/>
      <c r="W8" s="179"/>
    </row>
    <row r="9" spans="1:23" s="2" customFormat="1" ht="39" customHeight="1">
      <c r="A9" s="180"/>
      <c r="B9" s="182" t="s">
        <v>228</v>
      </c>
      <c r="C9" s="183"/>
      <c r="D9" s="183"/>
      <c r="E9" s="183"/>
      <c r="F9" s="183"/>
      <c r="G9" s="183"/>
      <c r="H9" s="183"/>
      <c r="I9" s="183"/>
      <c r="J9" s="183"/>
      <c r="K9" s="183"/>
      <c r="L9" s="183"/>
      <c r="M9" s="183"/>
      <c r="N9" s="183"/>
      <c r="O9" s="183"/>
      <c r="P9" s="183"/>
      <c r="Q9" s="183"/>
      <c r="R9" s="184"/>
      <c r="S9" s="183"/>
      <c r="T9" s="183"/>
      <c r="U9" s="183"/>
      <c r="V9" s="183"/>
      <c r="W9" s="180"/>
    </row>
    <row r="10" spans="1:23" s="2" customFormat="1" ht="32" customHeight="1">
      <c r="A10" s="180"/>
      <c r="B10" s="185" t="s">
        <v>229</v>
      </c>
      <c r="C10" s="183"/>
      <c r="D10" s="183"/>
      <c r="E10" s="183"/>
      <c r="F10" s="183"/>
      <c r="G10" s="183"/>
      <c r="H10" s="183"/>
      <c r="I10" s="183"/>
      <c r="J10" s="183"/>
      <c r="K10" s="183"/>
      <c r="L10" s="183"/>
      <c r="M10" s="183"/>
      <c r="N10" s="183"/>
      <c r="O10" s="183"/>
      <c r="P10" s="183"/>
      <c r="Q10" s="183"/>
      <c r="R10" s="183"/>
      <c r="S10" s="183"/>
      <c r="T10" s="183"/>
      <c r="U10" s="183"/>
      <c r="V10" s="183"/>
      <c r="W10" s="180"/>
    </row>
    <row r="11" spans="1:23" s="30" customFormat="1" ht="10" customHeight="1">
      <c r="A11" s="181"/>
      <c r="B11" s="27"/>
      <c r="C11" s="28"/>
      <c r="D11" s="29"/>
      <c r="E11" s="29"/>
      <c r="F11" s="28"/>
      <c r="G11" s="28"/>
      <c r="H11" s="28"/>
      <c r="I11" s="28"/>
      <c r="J11" s="28"/>
      <c r="K11" s="28"/>
      <c r="L11" s="28"/>
      <c r="M11" s="28"/>
      <c r="N11" s="28"/>
      <c r="O11" s="28"/>
      <c r="P11" s="28"/>
      <c r="Q11" s="28"/>
      <c r="R11" s="28"/>
      <c r="S11" s="28"/>
      <c r="T11" s="28"/>
      <c r="U11" s="28"/>
      <c r="V11" s="28"/>
      <c r="W11" s="181"/>
    </row>
    <row r="12" spans="1:23" s="30" customFormat="1" ht="19.5">
      <c r="A12" s="181"/>
      <c r="B12" s="27"/>
      <c r="F12" s="32" t="s">
        <v>230</v>
      </c>
      <c r="H12" s="25"/>
      <c r="W12" s="181"/>
    </row>
    <row r="13" spans="1:23" s="30" customFormat="1" ht="17">
      <c r="A13" s="181"/>
      <c r="B13" s="14"/>
      <c r="C13" s="31"/>
      <c r="F13" s="223" t="s">
        <v>358</v>
      </c>
      <c r="H13" s="62"/>
      <c r="I13" s="66"/>
      <c r="J13" s="67"/>
      <c r="K13" s="68"/>
      <c r="M13" s="224" t="s">
        <v>277</v>
      </c>
      <c r="N13" s="63"/>
      <c r="O13" s="63"/>
      <c r="P13" s="63"/>
      <c r="W13" s="181"/>
    </row>
    <row r="14" spans="1:23" s="30" customFormat="1" ht="17.5">
      <c r="A14" s="181"/>
      <c r="F14" s="223" t="s">
        <v>231</v>
      </c>
      <c r="H14" s="62"/>
      <c r="I14" s="63"/>
      <c r="J14" s="63"/>
      <c r="K14" s="64"/>
      <c r="M14" s="224" t="s">
        <v>278</v>
      </c>
      <c r="N14" s="63"/>
      <c r="O14" s="63"/>
      <c r="P14" s="63"/>
      <c r="W14" s="181"/>
    </row>
    <row r="15" spans="1:23" ht="17">
      <c r="A15" s="179"/>
      <c r="F15" s="223" t="s">
        <v>263</v>
      </c>
      <c r="H15" s="62"/>
      <c r="I15" s="65"/>
      <c r="J15" s="65"/>
      <c r="K15" s="65"/>
      <c r="M15" s="224" t="s">
        <v>279</v>
      </c>
      <c r="N15" s="65"/>
      <c r="O15" s="65"/>
      <c r="P15" s="65"/>
      <c r="W15" s="179"/>
    </row>
    <row r="16" spans="1:23" ht="17">
      <c r="A16" s="179"/>
      <c r="F16" s="223" t="s">
        <v>276</v>
      </c>
      <c r="H16" s="62"/>
      <c r="I16" s="65"/>
      <c r="J16" s="65"/>
      <c r="K16" s="65"/>
      <c r="L16" s="65"/>
      <c r="M16" s="224" t="s">
        <v>280</v>
      </c>
      <c r="N16" s="69"/>
      <c r="O16" s="69"/>
      <c r="P16" s="65"/>
      <c r="W16" s="179"/>
    </row>
    <row r="17" spans="1:23" ht="10" customHeight="1">
      <c r="A17" s="179"/>
      <c r="D17" s="61"/>
      <c r="E17" s="60"/>
      <c r="W17" s="179"/>
    </row>
    <row r="18" spans="1:23" ht="19.5">
      <c r="A18" s="179"/>
      <c r="D18" s="61"/>
      <c r="E18" s="60"/>
      <c r="F18" s="32" t="s">
        <v>281</v>
      </c>
      <c r="W18" s="179"/>
    </row>
    <row r="19" spans="1:23" ht="17">
      <c r="A19" s="179"/>
      <c r="F19" s="70" t="s">
        <v>282</v>
      </c>
      <c r="L19" s="70" t="s">
        <v>286</v>
      </c>
      <c r="Q19" s="70" t="s">
        <v>290</v>
      </c>
      <c r="W19" s="179"/>
    </row>
    <row r="20" spans="1:23" ht="15">
      <c r="A20" s="179"/>
      <c r="F20" s="225" t="s">
        <v>283</v>
      </c>
      <c r="L20" s="225" t="s">
        <v>287</v>
      </c>
      <c r="Q20" s="225" t="s">
        <v>291</v>
      </c>
      <c r="W20" s="179"/>
    </row>
    <row r="21" spans="1:23" ht="15">
      <c r="A21" s="179"/>
      <c r="F21" s="225" t="s">
        <v>284</v>
      </c>
      <c r="L21" s="225" t="s">
        <v>288</v>
      </c>
      <c r="Q21" s="225" t="s">
        <v>292</v>
      </c>
      <c r="W21" s="179"/>
    </row>
    <row r="22" spans="1:23" ht="15">
      <c r="A22" s="179"/>
      <c r="F22" s="225" t="s">
        <v>285</v>
      </c>
      <c r="L22" s="225" t="s">
        <v>289</v>
      </c>
      <c r="Q22" s="225" t="s">
        <v>357</v>
      </c>
      <c r="W22" s="179"/>
    </row>
    <row r="23" spans="1:23">
      <c r="A23" s="179"/>
      <c r="W23" s="179"/>
    </row>
    <row r="24" spans="1:23" ht="3.5" customHeight="1">
      <c r="A24" s="179"/>
      <c r="B24" s="179"/>
      <c r="C24" s="179"/>
      <c r="D24" s="179"/>
      <c r="E24" s="179"/>
      <c r="F24" s="179"/>
      <c r="G24" s="179"/>
      <c r="H24" s="179"/>
      <c r="I24" s="179"/>
      <c r="J24" s="179"/>
      <c r="K24" s="179"/>
      <c r="L24" s="179"/>
      <c r="M24" s="179"/>
      <c r="N24" s="179"/>
      <c r="O24" s="179"/>
      <c r="P24" s="179"/>
      <c r="Q24" s="179"/>
      <c r="R24" s="179"/>
      <c r="S24" s="179"/>
      <c r="T24" s="179"/>
      <c r="U24" s="179"/>
      <c r="V24" s="179"/>
      <c r="W24" s="179"/>
    </row>
    <row r="40" spans="2:10" ht="14" hidden="1">
      <c r="B40" s="6"/>
      <c r="C40" s="6"/>
      <c r="D40" s="6"/>
      <c r="E40" s="10"/>
      <c r="F40" s="11"/>
      <c r="G40" s="7"/>
      <c r="H40" s="3"/>
    </row>
    <row r="41" spans="2:10" ht="14" hidden="1">
      <c r="B41" s="6"/>
      <c r="C41" s="6"/>
      <c r="D41" s="6"/>
      <c r="E41" s="10"/>
      <c r="F41" s="11"/>
      <c r="G41" s="8"/>
      <c r="H41" s="3"/>
    </row>
    <row r="42" spans="2:10" ht="14" hidden="1">
      <c r="B42" s="6"/>
      <c r="C42" s="6"/>
      <c r="D42" s="6"/>
      <c r="E42" s="13"/>
      <c r="F42" s="12"/>
      <c r="G42" s="9"/>
      <c r="H42" s="5"/>
      <c r="I42" s="4"/>
      <c r="J42" s="4"/>
    </row>
    <row r="43" spans="2:10" ht="14" hidden="1">
      <c r="E43" s="13"/>
    </row>
    <row r="44" spans="2:10" ht="14" hidden="1">
      <c r="E44" s="13"/>
    </row>
    <row r="49" customFormat="1" hidden="1"/>
    <row r="50" customFormat="1" hidden="1"/>
  </sheetData>
  <sheetProtection algorithmName="SHA-512" hashValue="fjyBaOYEeGqwobUMhJnQ9YsawJafuezKkLp9LnzYT3nr/9u1TBDUWL5yD/OKWAlOtrbWzT9G0FSb0Dtb575UQQ==" saltValue="o9rHOvMhKbt5PYUU8EGy7w==" spinCount="100000" sheet="1" objects="1" scenarios="1"/>
  <hyperlinks>
    <hyperlink ref="F22" r:id="rId1" xr:uid="{7DEC0B11-CDC4-41D9-96DF-3068DD6FDCC9}"/>
    <hyperlink ref="F14" location="'Analyst Guide'!A1" display="Analyst Guide" xr:uid="{821A2745-703F-40F5-B27C-1F27F2D2D65D}"/>
    <hyperlink ref="F15" location="'Indicative Model'!A1" display="Indicative Model" xr:uid="{458C7A74-56FA-4965-B7B8-8EAE65B3B96C}"/>
    <hyperlink ref="F16" location="'Operating Data'!A1" display="Operating Data" xr:uid="{D21FE6F5-0076-4D04-BA28-F250523402D7}"/>
    <hyperlink ref="F13" location="Disclaimer!A1" display="Disclaimer" xr:uid="{48F66630-6792-4628-A4E0-31E54BD29C70}"/>
    <hyperlink ref="M13" location="'P&amp;L'!A1" display="Consolidated Income Statement" xr:uid="{ACC0A6E5-095C-4679-8EFD-6EE39E19A459}"/>
    <hyperlink ref="M14" location="'Segmental Results'!A1" display="Consolidated Segmental Results" xr:uid="{76BCB248-B8D0-4487-99CB-D60282BC0F7C}"/>
    <hyperlink ref="M15" location="BS!A1" display="Consolidated Balance Sheet" xr:uid="{7C0F7027-6700-449C-B9D3-6183978259D0}"/>
    <hyperlink ref="M16" location="CF!A1" display="Consolidated Cash Flows Statement" xr:uid="{7E7856DE-ABBA-44C9-ADBA-0FCB6A90042A}"/>
  </hyperlinks>
  <pageMargins left="0.7" right="0.7" top="0.75" bottom="0.75" header="0.3" footer="0.3"/>
  <pageSetup orientation="portrait" r:id="rId2"/>
  <headerFooter>
    <oddFooter>&amp;C&amp;K0303FE&amp;10&amp;"Calibri"Classification: Internal</oddFooter>
  </headerFooter>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5ACE-EE57-4712-8725-D8365D330123}">
  <dimension ref="A2:B3"/>
  <sheetViews>
    <sheetView workbookViewId="0"/>
  </sheetViews>
  <sheetFormatPr defaultRowHeight="13"/>
  <sheetData>
    <row r="2" spans="1:2">
      <c r="A2" t="s">
        <v>175</v>
      </c>
      <c r="B2" t="s">
        <v>176</v>
      </c>
    </row>
    <row r="3" spans="1:2">
      <c r="A3" t="s">
        <v>177</v>
      </c>
      <c r="B3"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4CB-EEDC-4EF9-9BEE-64586BE5421C}">
  <dimension ref="A1:V37"/>
  <sheetViews>
    <sheetView showGridLines="0" showRowColHeaders="0" workbookViewId="0"/>
  </sheetViews>
  <sheetFormatPr defaultColWidth="0" defaultRowHeight="13" zeroHeight="1"/>
  <cols>
    <col min="1" max="1" width="0.5" customWidth="1"/>
    <col min="2" max="21" width="8.796875" customWidth="1"/>
    <col min="22" max="22" width="0.59765625" customWidth="1"/>
    <col min="23" max="16384" width="8.796875" hidden="1"/>
  </cols>
  <sheetData>
    <row r="1" spans="2:21" ht="3" customHeight="1"/>
    <row r="2" spans="2:21" ht="17" customHeight="1">
      <c r="B2" s="226"/>
      <c r="C2" s="227"/>
      <c r="D2" s="227"/>
      <c r="E2" s="227"/>
      <c r="F2" s="227"/>
      <c r="G2" s="227"/>
      <c r="H2" s="227"/>
      <c r="I2" s="227"/>
      <c r="J2" s="227"/>
      <c r="K2" s="227"/>
      <c r="L2" s="227"/>
      <c r="M2" s="227"/>
      <c r="N2" s="227"/>
      <c r="O2" s="227"/>
      <c r="P2" s="227"/>
      <c r="Q2" s="227"/>
      <c r="R2" s="227"/>
      <c r="S2" s="227"/>
      <c r="T2" s="227"/>
      <c r="U2" s="228"/>
    </row>
    <row r="3" spans="2:21" ht="17" customHeight="1">
      <c r="B3" s="229"/>
      <c r="C3" s="65"/>
      <c r="D3" s="65"/>
      <c r="E3" s="65"/>
      <c r="F3" s="65"/>
      <c r="G3" s="65"/>
      <c r="H3" s="65"/>
      <c r="I3" s="65"/>
      <c r="J3" s="65"/>
      <c r="K3" s="65"/>
      <c r="L3" s="65"/>
      <c r="M3" s="65"/>
      <c r="N3" s="65"/>
      <c r="O3" s="65"/>
      <c r="P3" s="65"/>
      <c r="Q3" s="65"/>
      <c r="R3" s="65"/>
      <c r="S3" s="65"/>
      <c r="T3" s="65"/>
      <c r="U3" s="159"/>
    </row>
    <row r="4" spans="2:21" ht="17" customHeight="1">
      <c r="B4" s="397" t="s">
        <v>227</v>
      </c>
      <c r="C4" s="65"/>
      <c r="D4" s="65"/>
      <c r="E4" s="65"/>
      <c r="F4" s="65"/>
      <c r="G4" s="65"/>
      <c r="H4" s="65"/>
      <c r="I4" s="65"/>
      <c r="J4" s="65"/>
      <c r="K4" s="65"/>
      <c r="L4" s="65"/>
      <c r="M4" s="65"/>
      <c r="N4" s="65"/>
      <c r="O4" s="65"/>
      <c r="P4" s="65"/>
      <c r="Q4" s="65"/>
      <c r="R4" s="65"/>
      <c r="S4" s="65"/>
      <c r="T4" s="65"/>
      <c r="U4" s="159"/>
    </row>
    <row r="5" spans="2:21" ht="17" customHeight="1">
      <c r="B5" s="396" t="s">
        <v>358</v>
      </c>
      <c r="C5" s="65"/>
      <c r="D5" s="65"/>
      <c r="E5" s="65"/>
      <c r="F5" s="65"/>
      <c r="G5" s="65"/>
      <c r="H5" s="65"/>
      <c r="I5" s="65"/>
      <c r="J5" s="65"/>
      <c r="K5" s="65"/>
      <c r="L5" s="65"/>
      <c r="M5" s="65"/>
      <c r="N5" s="65"/>
      <c r="O5" s="65"/>
      <c r="P5" s="65"/>
      <c r="Q5" s="65"/>
      <c r="R5" s="65"/>
      <c r="S5" s="65"/>
      <c r="T5" s="65"/>
      <c r="U5" s="159"/>
    </row>
    <row r="6" spans="2:21">
      <c r="B6" s="229"/>
      <c r="C6" s="65"/>
      <c r="D6" s="65"/>
      <c r="E6" s="65"/>
      <c r="F6" s="65"/>
      <c r="G6" s="65"/>
      <c r="H6" s="65"/>
      <c r="I6" s="65"/>
      <c r="J6" s="65"/>
      <c r="K6" s="65"/>
      <c r="L6" s="65"/>
      <c r="M6" s="65"/>
      <c r="N6" s="65"/>
      <c r="O6" s="65"/>
      <c r="P6" s="65"/>
      <c r="Q6" s="65"/>
      <c r="R6" s="65"/>
      <c r="S6" s="65"/>
      <c r="T6" s="65"/>
      <c r="U6" s="159"/>
    </row>
    <row r="7" spans="2:21">
      <c r="B7" s="229"/>
      <c r="C7" s="65"/>
      <c r="D7" s="65"/>
      <c r="E7" s="65"/>
      <c r="F7" s="65"/>
      <c r="G7" s="65"/>
      <c r="H7" s="65"/>
      <c r="I7" s="65"/>
      <c r="J7" s="65"/>
      <c r="K7" s="65"/>
      <c r="L7" s="65"/>
      <c r="M7" s="65"/>
      <c r="N7" s="65"/>
      <c r="O7" s="65"/>
      <c r="P7" s="65"/>
      <c r="Q7" s="65"/>
      <c r="R7" s="65"/>
      <c r="S7" s="65"/>
      <c r="T7" s="65"/>
      <c r="U7" s="159"/>
    </row>
    <row r="8" spans="2:21">
      <c r="B8" s="229"/>
      <c r="C8" s="65"/>
      <c r="D8" s="65"/>
      <c r="E8" s="65"/>
      <c r="F8" s="65"/>
      <c r="G8" s="65"/>
      <c r="H8" s="65"/>
      <c r="I8" s="65"/>
      <c r="J8" s="65"/>
      <c r="K8" s="65"/>
      <c r="L8" s="65"/>
      <c r="M8" s="65"/>
      <c r="N8" s="65"/>
      <c r="O8" s="65"/>
      <c r="P8" s="65"/>
      <c r="Q8" s="65"/>
      <c r="R8" s="65"/>
      <c r="S8" s="65"/>
      <c r="T8" s="65"/>
      <c r="U8" s="159"/>
    </row>
    <row r="9" spans="2:21">
      <c r="B9" s="229"/>
      <c r="C9" s="65"/>
      <c r="D9" s="65"/>
      <c r="E9" s="65"/>
      <c r="F9" s="65"/>
      <c r="G9" s="65"/>
      <c r="H9" s="65"/>
      <c r="I9" s="65"/>
      <c r="J9" s="65"/>
      <c r="K9" s="65"/>
      <c r="L9" s="65"/>
      <c r="M9" s="65"/>
      <c r="N9" s="65"/>
      <c r="O9" s="65"/>
      <c r="P9" s="65"/>
      <c r="Q9" s="65"/>
      <c r="R9" s="65"/>
      <c r="S9" s="65"/>
      <c r="T9" s="65"/>
      <c r="U9" s="159"/>
    </row>
    <row r="10" spans="2:21">
      <c r="B10" s="229"/>
      <c r="C10" s="65"/>
      <c r="D10" s="65"/>
      <c r="E10" s="65"/>
      <c r="F10" s="65"/>
      <c r="G10" s="65"/>
      <c r="H10" s="65"/>
      <c r="I10" s="65"/>
      <c r="J10" s="65"/>
      <c r="K10" s="65"/>
      <c r="L10" s="65"/>
      <c r="M10" s="65"/>
      <c r="N10" s="65"/>
      <c r="O10" s="65"/>
      <c r="P10" s="65"/>
      <c r="Q10" s="65"/>
      <c r="R10" s="65"/>
      <c r="S10" s="65"/>
      <c r="T10" s="65"/>
      <c r="U10" s="159"/>
    </row>
    <row r="11" spans="2:21">
      <c r="B11" s="229"/>
      <c r="C11" s="65"/>
      <c r="D11" s="65"/>
      <c r="E11" s="65"/>
      <c r="F11" s="65"/>
      <c r="G11" s="65"/>
      <c r="H11" s="65"/>
      <c r="I11" s="65"/>
      <c r="J11" s="65"/>
      <c r="K11" s="65"/>
      <c r="L11" s="65"/>
      <c r="M11" s="65"/>
      <c r="N11" s="65"/>
      <c r="O11" s="65"/>
      <c r="P11" s="65"/>
      <c r="Q11" s="65"/>
      <c r="R11" s="65"/>
      <c r="S11" s="65"/>
      <c r="T11" s="65"/>
      <c r="U11" s="159"/>
    </row>
    <row r="12" spans="2:21">
      <c r="B12" s="229"/>
      <c r="C12" s="65"/>
      <c r="D12" s="65"/>
      <c r="E12" s="65"/>
      <c r="F12" s="65"/>
      <c r="G12" s="65"/>
      <c r="H12" s="65"/>
      <c r="I12" s="65"/>
      <c r="J12" s="65"/>
      <c r="K12" s="65"/>
      <c r="L12" s="65"/>
      <c r="M12" s="65"/>
      <c r="N12" s="65"/>
      <c r="O12" s="65"/>
      <c r="P12" s="65"/>
      <c r="Q12" s="65"/>
      <c r="R12" s="65"/>
      <c r="S12" s="65"/>
      <c r="T12" s="65"/>
      <c r="U12" s="159"/>
    </row>
    <row r="13" spans="2:21">
      <c r="B13" s="229"/>
      <c r="C13" s="65"/>
      <c r="D13" s="65"/>
      <c r="E13" s="65"/>
      <c r="F13" s="65"/>
      <c r="G13" s="65"/>
      <c r="H13" s="65"/>
      <c r="I13" s="65"/>
      <c r="J13" s="65"/>
      <c r="K13" s="65"/>
      <c r="L13" s="65"/>
      <c r="M13" s="65"/>
      <c r="N13" s="65"/>
      <c r="O13" s="65"/>
      <c r="P13" s="65"/>
      <c r="Q13" s="65"/>
      <c r="R13" s="65"/>
      <c r="S13" s="65"/>
      <c r="T13" s="65"/>
      <c r="U13" s="159"/>
    </row>
    <row r="14" spans="2:21">
      <c r="B14" s="229"/>
      <c r="C14" s="65"/>
      <c r="D14" s="65"/>
      <c r="E14" s="65"/>
      <c r="F14" s="65"/>
      <c r="G14" s="65"/>
      <c r="H14" s="65"/>
      <c r="I14" s="65"/>
      <c r="J14" s="65"/>
      <c r="K14" s="65"/>
      <c r="L14" s="65"/>
      <c r="M14" s="65"/>
      <c r="N14" s="65"/>
      <c r="O14" s="65"/>
      <c r="P14" s="65"/>
      <c r="Q14" s="65"/>
      <c r="R14" s="65"/>
      <c r="S14" s="65"/>
      <c r="T14" s="65"/>
      <c r="U14" s="159"/>
    </row>
    <row r="15" spans="2:21">
      <c r="B15" s="229"/>
      <c r="C15" s="65"/>
      <c r="D15" s="65"/>
      <c r="E15" s="65"/>
      <c r="F15" s="65"/>
      <c r="G15" s="65"/>
      <c r="H15" s="65"/>
      <c r="I15" s="65"/>
      <c r="J15" s="65"/>
      <c r="K15" s="65"/>
      <c r="L15" s="65"/>
      <c r="M15" s="65"/>
      <c r="N15" s="65"/>
      <c r="O15" s="65"/>
      <c r="P15" s="65"/>
      <c r="Q15" s="65"/>
      <c r="R15" s="65"/>
      <c r="S15" s="65"/>
      <c r="T15" s="65"/>
      <c r="U15" s="159"/>
    </row>
    <row r="16" spans="2:21">
      <c r="B16" s="229"/>
      <c r="C16" s="65"/>
      <c r="D16" s="65"/>
      <c r="E16" s="65"/>
      <c r="F16" s="65"/>
      <c r="G16" s="65"/>
      <c r="H16" s="65"/>
      <c r="I16" s="65"/>
      <c r="J16" s="65"/>
      <c r="K16" s="65"/>
      <c r="L16" s="65"/>
      <c r="M16" s="65"/>
      <c r="N16" s="65"/>
      <c r="O16" s="65"/>
      <c r="P16" s="65"/>
      <c r="Q16" s="65"/>
      <c r="R16" s="65"/>
      <c r="S16" s="65"/>
      <c r="T16" s="65"/>
      <c r="U16" s="159"/>
    </row>
    <row r="17" spans="2:21">
      <c r="B17" s="229"/>
      <c r="C17" s="65"/>
      <c r="D17" s="65"/>
      <c r="E17" s="65"/>
      <c r="F17" s="65"/>
      <c r="G17" s="65"/>
      <c r="H17" s="65"/>
      <c r="I17" s="65"/>
      <c r="J17" s="65"/>
      <c r="K17" s="65"/>
      <c r="L17" s="65"/>
      <c r="M17" s="65"/>
      <c r="N17" s="65"/>
      <c r="O17" s="65"/>
      <c r="P17" s="65"/>
      <c r="Q17" s="65"/>
      <c r="R17" s="65"/>
      <c r="S17" s="65"/>
      <c r="T17" s="65"/>
      <c r="U17" s="159"/>
    </row>
    <row r="18" spans="2:21">
      <c r="B18" s="229"/>
      <c r="C18" s="65"/>
      <c r="D18" s="65"/>
      <c r="E18" s="65"/>
      <c r="F18" s="65"/>
      <c r="G18" s="65"/>
      <c r="H18" s="65"/>
      <c r="I18" s="65"/>
      <c r="J18" s="65"/>
      <c r="K18" s="65"/>
      <c r="L18" s="65"/>
      <c r="M18" s="65"/>
      <c r="N18" s="65"/>
      <c r="O18" s="65"/>
      <c r="P18" s="65"/>
      <c r="Q18" s="65"/>
      <c r="R18" s="65"/>
      <c r="S18" s="65"/>
      <c r="T18" s="65"/>
      <c r="U18" s="159"/>
    </row>
    <row r="19" spans="2:21">
      <c r="B19" s="229"/>
      <c r="C19" s="65"/>
      <c r="D19" s="65"/>
      <c r="E19" s="65"/>
      <c r="F19" s="65"/>
      <c r="G19" s="65"/>
      <c r="H19" s="65"/>
      <c r="I19" s="65"/>
      <c r="J19" s="65"/>
      <c r="K19" s="65"/>
      <c r="L19" s="65"/>
      <c r="M19" s="65"/>
      <c r="N19" s="65"/>
      <c r="O19" s="65"/>
      <c r="P19" s="65"/>
      <c r="Q19" s="65"/>
      <c r="R19" s="65"/>
      <c r="S19" s="65"/>
      <c r="T19" s="65"/>
      <c r="U19" s="159"/>
    </row>
    <row r="20" spans="2:21">
      <c r="B20" s="229"/>
      <c r="C20" s="65"/>
      <c r="D20" s="65"/>
      <c r="E20" s="65"/>
      <c r="F20" s="65"/>
      <c r="G20" s="65"/>
      <c r="H20" s="65"/>
      <c r="I20" s="65"/>
      <c r="J20" s="65"/>
      <c r="K20" s="65"/>
      <c r="L20" s="65"/>
      <c r="M20" s="65"/>
      <c r="N20" s="65"/>
      <c r="O20" s="65"/>
      <c r="P20" s="65"/>
      <c r="Q20" s="65"/>
      <c r="R20" s="65"/>
      <c r="S20" s="65"/>
      <c r="T20" s="65"/>
      <c r="U20" s="159"/>
    </row>
    <row r="21" spans="2:21">
      <c r="B21" s="229"/>
      <c r="C21" s="65"/>
      <c r="D21" s="65"/>
      <c r="E21" s="65"/>
      <c r="F21" s="65"/>
      <c r="G21" s="65"/>
      <c r="H21" s="65"/>
      <c r="I21" s="65"/>
      <c r="J21" s="65"/>
      <c r="K21" s="65"/>
      <c r="L21" s="65"/>
      <c r="M21" s="65"/>
      <c r="N21" s="65"/>
      <c r="O21" s="65"/>
      <c r="P21" s="65"/>
      <c r="Q21" s="65"/>
      <c r="R21" s="65"/>
      <c r="S21" s="65"/>
      <c r="T21" s="65"/>
      <c r="U21" s="159"/>
    </row>
    <row r="22" spans="2:21">
      <c r="B22" s="229"/>
      <c r="C22" s="65"/>
      <c r="D22" s="65"/>
      <c r="E22" s="65"/>
      <c r="F22" s="65"/>
      <c r="G22" s="65"/>
      <c r="H22" s="65"/>
      <c r="I22" s="65"/>
      <c r="J22" s="65"/>
      <c r="K22" s="65"/>
      <c r="L22" s="65"/>
      <c r="M22" s="65"/>
      <c r="N22" s="65"/>
      <c r="O22" s="65"/>
      <c r="P22" s="65"/>
      <c r="Q22" s="65"/>
      <c r="R22" s="65"/>
      <c r="S22" s="65"/>
      <c r="T22" s="65"/>
      <c r="U22" s="159"/>
    </row>
    <row r="23" spans="2:21">
      <c r="B23" s="229"/>
      <c r="C23" s="65"/>
      <c r="D23" s="65"/>
      <c r="E23" s="65"/>
      <c r="F23" s="65"/>
      <c r="G23" s="65"/>
      <c r="H23" s="65"/>
      <c r="I23" s="65"/>
      <c r="J23" s="65"/>
      <c r="K23" s="65"/>
      <c r="L23" s="65"/>
      <c r="M23" s="65"/>
      <c r="N23" s="65"/>
      <c r="O23" s="65"/>
      <c r="P23" s="65"/>
      <c r="Q23" s="65"/>
      <c r="R23" s="65"/>
      <c r="S23" s="65"/>
      <c r="T23" s="65"/>
      <c r="U23" s="159"/>
    </row>
    <row r="24" spans="2:21">
      <c r="B24" s="229"/>
      <c r="C24" s="65"/>
      <c r="D24" s="65"/>
      <c r="E24" s="65"/>
      <c r="F24" s="65"/>
      <c r="G24" s="65"/>
      <c r="H24" s="65"/>
      <c r="I24" s="65"/>
      <c r="J24" s="65"/>
      <c r="K24" s="65"/>
      <c r="L24" s="65"/>
      <c r="M24" s="65"/>
      <c r="N24" s="65"/>
      <c r="O24" s="65"/>
      <c r="P24" s="65"/>
      <c r="Q24" s="65"/>
      <c r="R24" s="65"/>
      <c r="S24" s="65"/>
      <c r="T24" s="65"/>
      <c r="U24" s="159"/>
    </row>
    <row r="25" spans="2:21">
      <c r="B25" s="229"/>
      <c r="C25" s="65"/>
      <c r="D25" s="65"/>
      <c r="E25" s="65"/>
      <c r="F25" s="65"/>
      <c r="G25" s="65"/>
      <c r="H25" s="65"/>
      <c r="I25" s="65"/>
      <c r="J25" s="65"/>
      <c r="K25" s="65"/>
      <c r="L25" s="65"/>
      <c r="M25" s="65"/>
      <c r="N25" s="65"/>
      <c r="O25" s="65"/>
      <c r="P25" s="65"/>
      <c r="Q25" s="65"/>
      <c r="R25" s="65"/>
      <c r="S25" s="65"/>
      <c r="T25" s="65"/>
      <c r="U25" s="159"/>
    </row>
    <row r="26" spans="2:21">
      <c r="B26" s="229"/>
      <c r="C26" s="65"/>
      <c r="D26" s="65"/>
      <c r="E26" s="65"/>
      <c r="F26" s="65"/>
      <c r="G26" s="65"/>
      <c r="H26" s="65"/>
      <c r="I26" s="65"/>
      <c r="J26" s="65"/>
      <c r="K26" s="65"/>
      <c r="L26" s="65"/>
      <c r="M26" s="65"/>
      <c r="N26" s="65"/>
      <c r="O26" s="65"/>
      <c r="P26" s="65"/>
      <c r="Q26" s="65"/>
      <c r="R26" s="65"/>
      <c r="S26" s="65"/>
      <c r="T26" s="65"/>
      <c r="U26" s="159"/>
    </row>
    <row r="27" spans="2:21">
      <c r="B27" s="229"/>
      <c r="C27" s="65"/>
      <c r="D27" s="65"/>
      <c r="E27" s="65"/>
      <c r="F27" s="65"/>
      <c r="G27" s="65"/>
      <c r="H27" s="65"/>
      <c r="I27" s="65"/>
      <c r="J27" s="65"/>
      <c r="K27" s="65"/>
      <c r="L27" s="65"/>
      <c r="M27" s="65"/>
      <c r="N27" s="65"/>
      <c r="O27" s="65"/>
      <c r="P27" s="65"/>
      <c r="Q27" s="65"/>
      <c r="R27" s="65"/>
      <c r="S27" s="65"/>
      <c r="T27" s="65"/>
      <c r="U27" s="159"/>
    </row>
    <row r="28" spans="2:21">
      <c r="B28" s="229"/>
      <c r="C28" s="65"/>
      <c r="D28" s="65"/>
      <c r="E28" s="65"/>
      <c r="F28" s="65"/>
      <c r="G28" s="65"/>
      <c r="H28" s="65"/>
      <c r="I28" s="65"/>
      <c r="J28" s="65"/>
      <c r="K28" s="65"/>
      <c r="L28" s="65"/>
      <c r="M28" s="65"/>
      <c r="N28" s="65"/>
      <c r="O28" s="65"/>
      <c r="P28" s="65"/>
      <c r="Q28" s="65"/>
      <c r="R28" s="65"/>
      <c r="S28" s="65"/>
      <c r="T28" s="65"/>
      <c r="U28" s="159"/>
    </row>
    <row r="29" spans="2:21">
      <c r="B29" s="229"/>
      <c r="C29" s="65"/>
      <c r="D29" s="65"/>
      <c r="E29" s="65"/>
      <c r="F29" s="65"/>
      <c r="G29" s="65"/>
      <c r="H29" s="65"/>
      <c r="I29" s="65"/>
      <c r="J29" s="65"/>
      <c r="K29" s="65"/>
      <c r="L29" s="65"/>
      <c r="M29" s="65"/>
      <c r="N29" s="65"/>
      <c r="O29" s="65"/>
      <c r="P29" s="65"/>
      <c r="Q29" s="65"/>
      <c r="R29" s="65"/>
      <c r="S29" s="65"/>
      <c r="T29" s="65"/>
      <c r="U29" s="159"/>
    </row>
    <row r="30" spans="2:21">
      <c r="B30" s="229"/>
      <c r="C30" s="65"/>
      <c r="D30" s="65"/>
      <c r="E30" s="65"/>
      <c r="F30" s="65"/>
      <c r="G30" s="65"/>
      <c r="H30" s="65"/>
      <c r="I30" s="65"/>
      <c r="J30" s="65"/>
      <c r="K30" s="65"/>
      <c r="L30" s="65"/>
      <c r="M30" s="65"/>
      <c r="N30" s="65"/>
      <c r="O30" s="65"/>
      <c r="P30" s="65"/>
      <c r="Q30" s="65"/>
      <c r="R30" s="65"/>
      <c r="S30" s="65"/>
      <c r="T30" s="65"/>
      <c r="U30" s="159"/>
    </row>
    <row r="31" spans="2:21">
      <c r="B31" s="229"/>
      <c r="C31" s="65"/>
      <c r="D31" s="65"/>
      <c r="E31" s="65"/>
      <c r="F31" s="65"/>
      <c r="G31" s="65"/>
      <c r="H31" s="65"/>
      <c r="I31" s="65"/>
      <c r="J31" s="65"/>
      <c r="K31" s="65"/>
      <c r="L31" s="65"/>
      <c r="M31" s="65"/>
      <c r="N31" s="65"/>
      <c r="O31" s="65"/>
      <c r="P31" s="65"/>
      <c r="Q31" s="65"/>
      <c r="R31" s="65"/>
      <c r="S31" s="65"/>
      <c r="T31" s="65"/>
      <c r="U31" s="159"/>
    </row>
    <row r="32" spans="2:21">
      <c r="B32" s="229"/>
      <c r="C32" s="65"/>
      <c r="D32" s="65"/>
      <c r="E32" s="65"/>
      <c r="F32" s="65"/>
      <c r="G32" s="65"/>
      <c r="H32" s="65"/>
      <c r="I32" s="65"/>
      <c r="J32" s="65"/>
      <c r="K32" s="65"/>
      <c r="L32" s="65"/>
      <c r="M32" s="65"/>
      <c r="N32" s="65"/>
      <c r="O32" s="65"/>
      <c r="P32" s="65"/>
      <c r="Q32" s="65"/>
      <c r="R32" s="65"/>
      <c r="S32" s="65"/>
      <c r="T32" s="65"/>
      <c r="U32" s="159"/>
    </row>
    <row r="33" spans="2:21">
      <c r="B33" s="229"/>
      <c r="C33" s="65"/>
      <c r="D33" s="65"/>
      <c r="E33" s="65"/>
      <c r="F33" s="65"/>
      <c r="G33" s="65"/>
      <c r="H33" s="65"/>
      <c r="I33" s="65"/>
      <c r="J33" s="65"/>
      <c r="K33" s="65"/>
      <c r="L33" s="65"/>
      <c r="M33" s="65"/>
      <c r="N33" s="65"/>
      <c r="O33" s="65"/>
      <c r="P33" s="65"/>
      <c r="Q33" s="65"/>
      <c r="R33" s="65"/>
      <c r="S33" s="65"/>
      <c r="T33" s="65"/>
      <c r="U33" s="159"/>
    </row>
    <row r="34" spans="2:21">
      <c r="B34" s="229"/>
      <c r="C34" s="65"/>
      <c r="D34" s="65"/>
      <c r="E34" s="65"/>
      <c r="F34" s="65"/>
      <c r="G34" s="65"/>
      <c r="H34" s="65"/>
      <c r="I34" s="65"/>
      <c r="J34" s="65"/>
      <c r="K34" s="65"/>
      <c r="L34" s="65"/>
      <c r="M34" s="65"/>
      <c r="N34" s="65"/>
      <c r="O34" s="65"/>
      <c r="P34" s="65"/>
      <c r="Q34" s="65"/>
      <c r="R34" s="65"/>
      <c r="S34" s="65"/>
      <c r="T34" s="65"/>
      <c r="U34" s="159"/>
    </row>
    <row r="35" spans="2:21">
      <c r="B35" s="229"/>
      <c r="C35" s="65"/>
      <c r="D35" s="65"/>
      <c r="E35" s="65"/>
      <c r="F35" s="65"/>
      <c r="G35" s="65"/>
      <c r="H35" s="65"/>
      <c r="I35" s="65"/>
      <c r="J35" s="65"/>
      <c r="K35" s="65"/>
      <c r="L35" s="65"/>
      <c r="M35" s="65"/>
      <c r="N35" s="65"/>
      <c r="O35" s="65"/>
      <c r="P35" s="65"/>
      <c r="Q35" s="65"/>
      <c r="R35" s="65"/>
      <c r="S35" s="65"/>
      <c r="T35" s="65"/>
      <c r="U35" s="159"/>
    </row>
    <row r="36" spans="2:21">
      <c r="B36" s="230"/>
      <c r="C36" s="231"/>
      <c r="D36" s="231"/>
      <c r="E36" s="231"/>
      <c r="F36" s="231"/>
      <c r="G36" s="231"/>
      <c r="H36" s="231"/>
      <c r="I36" s="231"/>
      <c r="J36" s="231"/>
      <c r="K36" s="231"/>
      <c r="L36" s="231"/>
      <c r="M36" s="231"/>
      <c r="N36" s="231"/>
      <c r="O36" s="231"/>
      <c r="P36" s="231"/>
      <c r="Q36" s="231"/>
      <c r="R36" s="231"/>
      <c r="S36" s="231"/>
      <c r="T36" s="231"/>
      <c r="U36" s="232"/>
    </row>
    <row r="37" spans="2:21" ht="2.5" customHeight="1"/>
  </sheetData>
  <sheetProtection algorithmName="SHA-512" hashValue="fBMIERH/tBvQsaiGTmvo1oFwBcAKtxY5UQ2YYh10OuJ6LWo6C+4jceI8lP27TSb2g6I3IHcRVfW12o582eQCFA==" saltValue="TP20heVcGbeaSANnk1DLJg==" spinCount="100000" sheet="1" objects="1" scenarios="1"/>
  <pageMargins left="0.7" right="0.7" top="0.75" bottom="0.75" header="0.3" footer="0.3"/>
  <pageSetup orientation="portrait" r:id="rId1"/>
  <headerFooter>
    <oddFooter>&amp;C&amp;K0303FE&amp;10&amp;"Calibri"Classification: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1"/>
  <sheetViews>
    <sheetView showGridLines="0" zoomScale="90" zoomScaleNormal="90" zoomScaleSheetLayoutView="91" workbookViewId="0"/>
  </sheetViews>
  <sheetFormatPr defaultColWidth="0" defaultRowHeight="14" customHeight="1" zeroHeight="1"/>
  <cols>
    <col min="1" max="1" width="0.5" customWidth="1"/>
    <col min="2" max="2" width="14.5" customWidth="1"/>
    <col min="3" max="3" width="52.5" customWidth="1"/>
    <col min="4" max="4" width="16" customWidth="1"/>
    <col min="5" max="6" width="32.69921875" customWidth="1"/>
    <col min="7" max="7" width="21.796875" bestFit="1" customWidth="1"/>
    <col min="8" max="8" width="0.3984375" customWidth="1"/>
    <col min="9" max="9" width="9.69921875" hidden="1" customWidth="1"/>
    <col min="10" max="11" width="9.09765625" hidden="1" customWidth="1"/>
    <col min="12" max="12" width="8" hidden="1" customWidth="1"/>
    <col min="13" max="16384" width="9.09765625" hidden="1"/>
  </cols>
  <sheetData>
    <row r="1" spans="2:27" ht="3" customHeight="1"/>
    <row r="2" spans="2:27" ht="17" customHeight="1">
      <c r="B2" s="89"/>
      <c r="C2" s="90"/>
      <c r="D2" s="90"/>
      <c r="E2" s="90"/>
      <c r="F2" s="91"/>
      <c r="G2" s="91"/>
      <c r="H2" s="15"/>
      <c r="I2" s="15"/>
      <c r="J2" s="15"/>
      <c r="K2" s="15"/>
      <c r="L2" s="15"/>
      <c r="M2" s="15"/>
      <c r="N2" s="15"/>
      <c r="O2" s="15"/>
      <c r="P2" s="15"/>
      <c r="Q2" s="15"/>
      <c r="R2" s="15"/>
      <c r="S2" s="15"/>
      <c r="T2" s="15"/>
      <c r="U2" s="15"/>
      <c r="V2" s="15"/>
      <c r="W2" s="15"/>
      <c r="X2" s="15"/>
      <c r="Y2" s="15"/>
      <c r="Z2" s="15"/>
      <c r="AA2" s="15"/>
    </row>
    <row r="3" spans="2:27" ht="17" customHeight="1">
      <c r="B3" s="92"/>
      <c r="C3" s="55"/>
      <c r="D3" s="55"/>
      <c r="E3" s="55"/>
      <c r="F3" s="55"/>
      <c r="G3" s="93"/>
      <c r="H3" s="15"/>
      <c r="I3" s="15"/>
      <c r="J3" s="15"/>
      <c r="K3" s="15"/>
      <c r="L3" s="15"/>
      <c r="M3" s="15"/>
      <c r="N3" s="15"/>
      <c r="O3" s="15"/>
      <c r="P3" s="15"/>
      <c r="Q3" s="15"/>
      <c r="R3" s="15"/>
      <c r="S3" s="15"/>
      <c r="T3" s="15"/>
      <c r="U3" s="15"/>
      <c r="V3" s="15"/>
      <c r="W3" s="15"/>
      <c r="X3" s="15"/>
      <c r="Y3" s="15"/>
      <c r="Z3" s="15"/>
      <c r="AA3" s="15"/>
    </row>
    <row r="4" spans="2:27" ht="17" customHeight="1">
      <c r="B4" s="397" t="s">
        <v>227</v>
      </c>
      <c r="C4" s="55"/>
      <c r="D4" s="55"/>
      <c r="E4" s="55"/>
      <c r="F4" s="55"/>
      <c r="G4" s="93"/>
      <c r="H4" s="15"/>
      <c r="I4" s="15"/>
      <c r="J4" s="15"/>
      <c r="K4" s="15"/>
      <c r="L4" s="15"/>
      <c r="M4" s="15"/>
      <c r="N4" s="15"/>
      <c r="O4" s="15"/>
      <c r="P4" s="15"/>
      <c r="Q4" s="15"/>
      <c r="R4" s="15"/>
      <c r="S4" s="15"/>
      <c r="T4" s="15"/>
      <c r="U4" s="15"/>
      <c r="V4" s="15"/>
      <c r="W4" s="15"/>
      <c r="X4" s="15"/>
      <c r="Y4" s="15"/>
      <c r="Z4" s="15"/>
      <c r="AA4" s="15"/>
    </row>
    <row r="5" spans="2:27" ht="17" customHeight="1">
      <c r="B5" s="397" t="s">
        <v>231</v>
      </c>
      <c r="C5" s="55"/>
      <c r="D5" s="55"/>
      <c r="E5" s="55"/>
      <c r="F5" s="55"/>
      <c r="G5" s="93"/>
      <c r="H5" s="15"/>
      <c r="I5" s="15"/>
      <c r="J5" s="15"/>
      <c r="K5" s="15"/>
      <c r="L5" s="15"/>
      <c r="M5" s="15"/>
      <c r="N5" s="15"/>
      <c r="O5" s="15"/>
      <c r="P5" s="15"/>
      <c r="Q5" s="15"/>
      <c r="R5" s="15"/>
      <c r="S5" s="15"/>
      <c r="T5" s="15"/>
      <c r="U5" s="15"/>
      <c r="V5" s="15"/>
      <c r="W5" s="15"/>
      <c r="X5" s="15"/>
      <c r="Y5" s="15"/>
      <c r="Z5" s="15"/>
      <c r="AA5" s="15"/>
    </row>
    <row r="6" spans="2:27" ht="14" customHeight="1">
      <c r="B6" s="95"/>
      <c r="C6" s="96"/>
      <c r="D6" s="78"/>
      <c r="E6" s="78"/>
      <c r="F6" s="78"/>
      <c r="G6" s="97"/>
      <c r="H6" s="15"/>
      <c r="I6" s="15"/>
      <c r="J6" s="15"/>
      <c r="K6" s="15"/>
      <c r="L6" s="15"/>
      <c r="M6" s="15"/>
      <c r="N6" s="15"/>
      <c r="O6" s="15"/>
      <c r="P6" s="15"/>
      <c r="Q6" s="15"/>
      <c r="R6" s="15"/>
      <c r="S6" s="15"/>
      <c r="T6" s="15"/>
      <c r="U6" s="15"/>
      <c r="V6" s="15"/>
      <c r="W6" s="15"/>
      <c r="X6" s="15"/>
      <c r="Y6" s="15"/>
      <c r="Z6" s="15"/>
      <c r="AA6" s="15"/>
    </row>
    <row r="7" spans="2:27" ht="14" customHeight="1">
      <c r="B7" s="398" t="s">
        <v>234</v>
      </c>
      <c r="C7" s="399"/>
      <c r="D7" s="399"/>
      <c r="E7" s="399"/>
      <c r="F7" s="400"/>
      <c r="G7" s="401"/>
      <c r="H7" s="15"/>
      <c r="I7" s="15"/>
      <c r="J7" s="15"/>
      <c r="K7" s="15"/>
      <c r="L7" s="15"/>
      <c r="M7" s="15"/>
      <c r="N7" s="15"/>
      <c r="O7" s="15"/>
      <c r="P7" s="15"/>
      <c r="Q7" s="15"/>
      <c r="R7" s="15"/>
      <c r="S7" s="15"/>
      <c r="T7" s="15"/>
      <c r="U7" s="15"/>
      <c r="V7" s="15"/>
      <c r="W7" s="15"/>
      <c r="X7" s="15"/>
      <c r="Y7" s="15"/>
      <c r="Z7" s="15"/>
      <c r="AA7" s="15"/>
    </row>
    <row r="8" spans="2:27">
      <c r="B8" s="98"/>
      <c r="C8" s="24" t="s">
        <v>232</v>
      </c>
      <c r="D8" s="22" t="s">
        <v>0</v>
      </c>
      <c r="E8" s="23" t="s">
        <v>1</v>
      </c>
      <c r="F8" s="22"/>
      <c r="G8" s="99"/>
      <c r="H8" s="15"/>
      <c r="I8" s="15"/>
      <c r="J8" s="15"/>
      <c r="K8" s="15"/>
      <c r="L8" s="15"/>
      <c r="M8" s="15"/>
      <c r="N8" s="15"/>
      <c r="O8" s="15"/>
      <c r="P8" s="15"/>
      <c r="Q8" s="15"/>
      <c r="R8" s="15"/>
      <c r="S8" s="15"/>
      <c r="T8" s="15"/>
      <c r="U8" s="15"/>
      <c r="V8" s="15"/>
      <c r="W8" s="15"/>
      <c r="X8" s="15"/>
      <c r="Y8" s="15"/>
      <c r="Z8" s="15"/>
      <c r="AA8" s="15"/>
    </row>
    <row r="9" spans="2:27">
      <c r="B9" s="100"/>
      <c r="C9" s="24" t="s">
        <v>233</v>
      </c>
      <c r="D9" s="22" t="s">
        <v>2</v>
      </c>
      <c r="E9" s="23" t="s">
        <v>3</v>
      </c>
      <c r="F9" s="22"/>
      <c r="G9" s="99"/>
      <c r="H9" s="15"/>
      <c r="I9" s="15"/>
      <c r="J9" s="15"/>
      <c r="K9" s="15"/>
      <c r="L9" s="15"/>
      <c r="M9" s="15"/>
      <c r="N9" s="15"/>
      <c r="O9" s="15"/>
      <c r="P9" s="15"/>
      <c r="Q9" s="15"/>
      <c r="R9" s="15"/>
      <c r="S9" s="15"/>
      <c r="T9" s="15"/>
      <c r="U9" s="15"/>
      <c r="V9" s="15"/>
      <c r="W9" s="15"/>
      <c r="X9" s="15"/>
      <c r="Y9" s="15"/>
      <c r="Z9" s="15"/>
      <c r="AA9" s="15"/>
    </row>
    <row r="10" spans="2:27">
      <c r="B10" s="92"/>
      <c r="C10" s="58"/>
      <c r="D10" s="58"/>
      <c r="E10" s="58"/>
      <c r="F10" s="78"/>
      <c r="G10" s="101"/>
      <c r="H10" s="15"/>
      <c r="I10" s="15"/>
      <c r="J10" s="15"/>
      <c r="K10" s="15"/>
      <c r="L10" s="15"/>
      <c r="M10" s="15"/>
      <c r="N10" s="15"/>
      <c r="O10" s="15"/>
      <c r="P10" s="15"/>
      <c r="Q10" s="15"/>
      <c r="R10" s="15"/>
      <c r="S10" s="15"/>
      <c r="T10" s="15"/>
      <c r="U10" s="15"/>
      <c r="V10" s="15"/>
      <c r="W10" s="15"/>
      <c r="X10" s="15"/>
      <c r="Y10" s="15"/>
      <c r="Z10" s="15"/>
      <c r="AA10" s="15"/>
    </row>
    <row r="11" spans="2:27">
      <c r="B11" s="398" t="s">
        <v>293</v>
      </c>
      <c r="C11" s="399"/>
      <c r="D11" s="399"/>
      <c r="E11" s="399"/>
      <c r="F11" s="400"/>
      <c r="G11" s="401"/>
      <c r="H11" s="15"/>
      <c r="I11" s="15"/>
      <c r="J11" s="15"/>
      <c r="K11" s="11"/>
      <c r="L11" s="11"/>
      <c r="M11" s="11"/>
      <c r="N11" s="11"/>
      <c r="O11" s="11"/>
      <c r="P11" s="11"/>
      <c r="Q11" s="11"/>
      <c r="R11" s="11"/>
      <c r="S11" s="11"/>
      <c r="T11" s="11"/>
      <c r="U11" s="11"/>
      <c r="V11" s="11"/>
      <c r="W11" s="11"/>
      <c r="X11" s="11"/>
      <c r="Y11" s="11"/>
      <c r="Z11" s="11"/>
      <c r="AA11" s="11"/>
    </row>
    <row r="12" spans="2:27">
      <c r="B12" s="102" t="s">
        <v>112</v>
      </c>
      <c r="C12" s="24"/>
      <c r="D12" s="24"/>
      <c r="E12" s="24"/>
      <c r="F12" s="22"/>
      <c r="G12" s="99"/>
      <c r="H12" s="15"/>
      <c r="I12" s="15"/>
      <c r="J12" s="15"/>
      <c r="K12" s="11"/>
      <c r="L12" s="11"/>
      <c r="M12" s="11"/>
      <c r="N12" s="11"/>
      <c r="O12" s="11"/>
      <c r="P12" s="11"/>
      <c r="Q12" s="11"/>
      <c r="R12" s="11"/>
      <c r="S12" s="11"/>
      <c r="T12" s="11"/>
      <c r="U12" s="11"/>
      <c r="V12" s="11"/>
      <c r="W12" s="11"/>
      <c r="X12" s="11"/>
      <c r="Y12" s="11"/>
      <c r="Z12" s="11"/>
      <c r="AA12" s="11"/>
    </row>
    <row r="13" spans="2:27">
      <c r="B13" s="98"/>
      <c r="C13" s="24"/>
      <c r="D13" s="24"/>
      <c r="E13" s="24"/>
      <c r="F13" s="22"/>
      <c r="G13" s="99"/>
      <c r="H13" s="15"/>
      <c r="I13" s="15"/>
      <c r="J13" s="15"/>
      <c r="K13" s="11"/>
      <c r="L13" s="11"/>
      <c r="M13" s="11"/>
      <c r="N13" s="11"/>
      <c r="O13" s="11"/>
      <c r="P13" s="11"/>
      <c r="Q13" s="11"/>
      <c r="R13" s="11"/>
      <c r="S13" s="11"/>
      <c r="T13" s="11"/>
      <c r="U13" s="11"/>
      <c r="V13" s="11"/>
      <c r="W13" s="11"/>
      <c r="X13" s="11"/>
      <c r="Y13" s="11"/>
      <c r="Z13" s="11"/>
      <c r="AA13" s="11"/>
    </row>
    <row r="14" spans="2:27">
      <c r="B14" s="98"/>
      <c r="C14" s="24"/>
      <c r="D14" s="24"/>
      <c r="E14" s="24"/>
      <c r="F14" s="22"/>
      <c r="G14" s="99"/>
      <c r="H14" s="15"/>
      <c r="I14" s="15"/>
      <c r="J14" s="15"/>
      <c r="K14" s="11"/>
      <c r="L14" s="11"/>
      <c r="M14" s="11"/>
      <c r="N14" s="11"/>
      <c r="O14" s="11"/>
      <c r="P14" s="11"/>
      <c r="Q14" s="11"/>
      <c r="R14" s="11"/>
      <c r="S14" s="11"/>
      <c r="T14" s="11"/>
      <c r="U14" s="11"/>
      <c r="V14" s="11"/>
      <c r="W14" s="11"/>
      <c r="X14" s="11"/>
      <c r="Y14" s="11"/>
      <c r="Z14" s="11"/>
      <c r="AA14" s="11"/>
    </row>
    <row r="15" spans="2:27" ht="14" customHeight="1">
      <c r="B15" s="98"/>
      <c r="C15" s="503" t="s">
        <v>127</v>
      </c>
      <c r="D15" s="24"/>
      <c r="E15" s="24"/>
      <c r="F15" s="22"/>
      <c r="G15" s="99"/>
      <c r="H15" s="15"/>
      <c r="I15" s="15"/>
      <c r="J15" s="15"/>
      <c r="K15" s="11"/>
      <c r="L15" s="11"/>
      <c r="M15" s="11"/>
      <c r="N15" s="11"/>
      <c r="O15" s="11"/>
      <c r="P15" s="11"/>
      <c r="Q15" s="11"/>
      <c r="R15" s="11"/>
      <c r="S15" s="11"/>
      <c r="T15" s="11"/>
      <c r="U15" s="11"/>
      <c r="V15" s="11"/>
      <c r="W15" s="11"/>
      <c r="X15" s="11"/>
      <c r="Y15" s="11"/>
      <c r="Z15" s="11"/>
      <c r="AA15" s="11"/>
    </row>
    <row r="16" spans="2:27">
      <c r="B16" s="98"/>
      <c r="C16" s="503"/>
      <c r="D16" s="24"/>
      <c r="E16" s="24"/>
      <c r="F16" s="22"/>
      <c r="G16" s="99"/>
      <c r="H16" s="15"/>
      <c r="I16" s="15"/>
      <c r="J16" s="15"/>
      <c r="K16" s="11"/>
      <c r="L16" s="11"/>
      <c r="M16" s="11"/>
      <c r="N16" s="11"/>
      <c r="O16" s="11"/>
      <c r="P16" s="11"/>
      <c r="Q16" s="11"/>
      <c r="R16" s="11"/>
      <c r="S16" s="11"/>
      <c r="T16" s="11"/>
      <c r="U16" s="11"/>
      <c r="V16" s="11"/>
      <c r="W16" s="11"/>
      <c r="X16" s="11"/>
      <c r="Y16" s="11"/>
      <c r="Z16" s="11"/>
      <c r="AA16" s="11"/>
    </row>
    <row r="17" spans="2:27">
      <c r="B17" s="98"/>
      <c r="C17" s="503"/>
      <c r="D17" s="24"/>
      <c r="E17" s="24"/>
      <c r="F17" s="22"/>
      <c r="G17" s="99"/>
      <c r="H17" s="15"/>
      <c r="I17" s="15"/>
      <c r="J17" s="15"/>
      <c r="K17" s="11"/>
      <c r="L17" s="11"/>
      <c r="M17" s="11"/>
      <c r="N17" s="11"/>
      <c r="O17" s="11"/>
      <c r="P17" s="11"/>
      <c r="Q17" s="11"/>
      <c r="R17" s="11"/>
      <c r="S17" s="11"/>
      <c r="T17" s="11"/>
      <c r="U17" s="11"/>
      <c r="V17" s="11"/>
      <c r="W17" s="11"/>
      <c r="X17" s="11"/>
      <c r="Y17" s="11"/>
      <c r="Z17" s="11"/>
      <c r="AA17" s="11"/>
    </row>
    <row r="18" spans="2:27">
      <c r="B18" s="98"/>
      <c r="C18" s="503"/>
      <c r="D18" s="24"/>
      <c r="E18" s="24"/>
      <c r="F18" s="22"/>
      <c r="G18" s="104"/>
      <c r="H18" s="15"/>
      <c r="I18" s="15"/>
      <c r="J18" s="15"/>
      <c r="K18" s="11"/>
      <c r="L18" s="11"/>
      <c r="M18" s="11"/>
      <c r="N18" s="11"/>
      <c r="O18" s="11"/>
      <c r="P18" s="11"/>
      <c r="Q18" s="11"/>
      <c r="R18" s="11"/>
      <c r="S18" s="11"/>
      <c r="T18" s="11"/>
      <c r="U18" s="11"/>
      <c r="V18" s="11"/>
      <c r="W18" s="11"/>
      <c r="X18" s="11"/>
      <c r="Y18" s="11"/>
      <c r="Z18" s="11"/>
      <c r="AA18" s="11"/>
    </row>
    <row r="19" spans="2:27">
      <c r="B19" s="98"/>
      <c r="C19" s="503"/>
      <c r="D19" s="24"/>
      <c r="E19" s="24"/>
      <c r="F19" s="105"/>
      <c r="G19" s="99"/>
      <c r="H19" s="15"/>
      <c r="I19" s="15"/>
      <c r="J19" s="15"/>
      <c r="K19" s="11"/>
      <c r="L19" s="11"/>
      <c r="M19" s="11"/>
      <c r="N19" s="11"/>
      <c r="O19" s="11"/>
      <c r="P19" s="11"/>
      <c r="Q19" s="11"/>
      <c r="R19" s="11"/>
      <c r="S19" s="11"/>
      <c r="T19" s="11"/>
      <c r="U19" s="11"/>
      <c r="V19" s="11"/>
      <c r="W19" s="11"/>
      <c r="X19" s="11"/>
      <c r="Y19" s="11"/>
      <c r="Z19" s="11"/>
      <c r="AA19" s="11"/>
    </row>
    <row r="20" spans="2:27">
      <c r="B20" s="98"/>
      <c r="C20" s="503"/>
      <c r="D20" s="24"/>
      <c r="E20" s="24"/>
      <c r="F20" s="105"/>
      <c r="G20" s="99"/>
      <c r="H20" s="15"/>
      <c r="I20" s="15"/>
      <c r="J20" s="15"/>
      <c r="K20" s="11"/>
      <c r="L20" s="11"/>
      <c r="M20" s="11"/>
      <c r="N20" s="11"/>
      <c r="O20" s="11"/>
      <c r="P20" s="11"/>
      <c r="Q20" s="11"/>
      <c r="R20" s="11"/>
      <c r="S20" s="11"/>
      <c r="T20" s="11"/>
      <c r="U20" s="11"/>
      <c r="V20" s="11"/>
      <c r="W20" s="11"/>
      <c r="X20" s="11"/>
      <c r="Y20" s="11"/>
      <c r="Z20" s="11"/>
      <c r="AA20" s="11"/>
    </row>
    <row r="21" spans="2:27">
      <c r="B21" s="98"/>
      <c r="C21" s="106"/>
      <c r="D21" s="24"/>
      <c r="E21" s="502" t="s">
        <v>113</v>
      </c>
      <c r="F21" s="502"/>
      <c r="G21" s="99"/>
      <c r="H21" s="15"/>
      <c r="I21" s="15"/>
      <c r="J21" s="15"/>
      <c r="K21" s="11"/>
      <c r="L21" s="11"/>
      <c r="M21" s="11"/>
      <c r="N21" s="11"/>
      <c r="O21" s="11"/>
      <c r="P21" s="11"/>
      <c r="Q21" s="11"/>
      <c r="R21" s="11"/>
      <c r="S21" s="11"/>
      <c r="T21" s="11"/>
      <c r="U21" s="11"/>
      <c r="V21" s="11"/>
      <c r="W21" s="11"/>
      <c r="X21" s="11"/>
      <c r="Y21" s="11"/>
      <c r="Z21" s="11"/>
      <c r="AA21" s="11"/>
    </row>
    <row r="22" spans="2:27">
      <c r="B22" s="98"/>
      <c r="C22" s="24"/>
      <c r="D22" s="24"/>
      <c r="E22" s="24"/>
      <c r="F22" s="22"/>
      <c r="G22" s="99"/>
      <c r="H22" s="15"/>
      <c r="I22" s="15"/>
      <c r="J22" s="15"/>
      <c r="K22" s="11"/>
      <c r="L22" s="11"/>
      <c r="M22" s="11"/>
      <c r="N22" s="11"/>
      <c r="O22" s="11"/>
      <c r="P22" s="11"/>
      <c r="Q22" s="11"/>
      <c r="R22" s="11"/>
      <c r="S22" s="11"/>
      <c r="T22" s="11"/>
      <c r="U22" s="11"/>
      <c r="V22" s="11"/>
      <c r="W22" s="11"/>
      <c r="X22" s="11"/>
      <c r="Y22" s="11"/>
      <c r="Z22" s="11"/>
      <c r="AA22" s="11"/>
    </row>
    <row r="23" spans="2:27">
      <c r="B23" s="98"/>
      <c r="C23" s="24"/>
      <c r="D23" s="24"/>
      <c r="E23" s="24"/>
      <c r="F23" s="22"/>
      <c r="G23" s="99"/>
      <c r="H23" s="15"/>
      <c r="I23" s="15"/>
      <c r="J23" s="15"/>
      <c r="K23" s="11"/>
      <c r="L23" s="11"/>
      <c r="M23" s="11"/>
      <c r="N23" s="11"/>
      <c r="O23" s="11"/>
      <c r="P23" s="11"/>
      <c r="Q23" s="11"/>
      <c r="R23" s="11"/>
      <c r="S23" s="11"/>
      <c r="T23" s="11"/>
      <c r="U23" s="11"/>
      <c r="V23" s="11"/>
      <c r="W23" s="11"/>
      <c r="X23" s="11"/>
      <c r="Y23" s="11"/>
      <c r="Z23" s="11"/>
      <c r="AA23" s="11"/>
    </row>
    <row r="24" spans="2:27">
      <c r="B24" s="98"/>
      <c r="C24" s="24"/>
      <c r="D24" s="24"/>
      <c r="E24" s="24"/>
      <c r="F24" s="22"/>
      <c r="G24" s="99"/>
      <c r="H24" s="15"/>
      <c r="I24" s="15"/>
      <c r="J24" s="15"/>
      <c r="K24" s="11"/>
      <c r="L24" s="11"/>
      <c r="M24" s="11"/>
      <c r="N24" s="11"/>
      <c r="O24" s="11"/>
      <c r="P24" s="11"/>
      <c r="Q24" s="11"/>
      <c r="R24" s="11"/>
      <c r="S24" s="11"/>
      <c r="T24" s="11"/>
      <c r="U24" s="11"/>
      <c r="V24" s="11"/>
      <c r="W24" s="11"/>
      <c r="X24" s="11"/>
      <c r="Y24" s="11"/>
      <c r="Z24" s="11"/>
      <c r="AA24" s="11"/>
    </row>
    <row r="25" spans="2:27">
      <c r="B25" s="98"/>
      <c r="C25" s="107"/>
      <c r="D25" s="74"/>
      <c r="E25" s="469" t="s">
        <v>110</v>
      </c>
      <c r="F25" s="469" t="s">
        <v>111</v>
      </c>
      <c r="G25" s="99"/>
      <c r="H25" s="15"/>
      <c r="I25" s="15"/>
      <c r="J25" s="15"/>
      <c r="K25" s="11"/>
      <c r="L25" s="11"/>
      <c r="M25" s="11"/>
      <c r="N25" s="11"/>
      <c r="O25" s="11"/>
      <c r="P25" s="11"/>
      <c r="Q25" s="11"/>
      <c r="R25" s="11"/>
      <c r="S25" s="11"/>
      <c r="T25" s="11"/>
      <c r="U25" s="11"/>
      <c r="V25" s="11"/>
      <c r="W25" s="11"/>
      <c r="X25" s="11"/>
      <c r="Y25" s="11"/>
      <c r="Z25" s="11"/>
      <c r="AA25" s="11"/>
    </row>
    <row r="26" spans="2:27">
      <c r="B26" s="98"/>
      <c r="C26" s="36" t="s">
        <v>118</v>
      </c>
      <c r="D26" s="33"/>
      <c r="E26" s="71" t="s">
        <v>135</v>
      </c>
      <c r="F26" s="71" t="s">
        <v>114</v>
      </c>
      <c r="G26" s="99"/>
      <c r="H26" s="15"/>
      <c r="I26" s="15"/>
      <c r="J26" s="15"/>
      <c r="K26" s="11"/>
      <c r="L26" s="11"/>
      <c r="M26" s="11"/>
      <c r="N26" s="11"/>
      <c r="O26" s="11"/>
      <c r="P26" s="11"/>
      <c r="Q26" s="11"/>
      <c r="R26" s="11"/>
      <c r="S26" s="11"/>
      <c r="T26" s="11"/>
      <c r="U26" s="11"/>
      <c r="V26" s="11"/>
      <c r="W26" s="11"/>
      <c r="X26" s="11"/>
      <c r="Y26" s="11"/>
      <c r="Z26" s="11"/>
      <c r="AA26" s="11"/>
    </row>
    <row r="27" spans="2:27">
      <c r="B27" s="98"/>
      <c r="C27" s="37" t="s">
        <v>124</v>
      </c>
      <c r="D27" s="33"/>
      <c r="E27" s="71" t="s">
        <v>126</v>
      </c>
      <c r="F27" s="71" t="s">
        <v>125</v>
      </c>
      <c r="G27" s="99"/>
      <c r="H27" s="15"/>
      <c r="I27" s="15"/>
      <c r="J27" s="15"/>
      <c r="K27" s="11"/>
      <c r="L27" s="11"/>
      <c r="M27" s="11"/>
      <c r="N27" s="11"/>
      <c r="O27" s="11"/>
      <c r="P27" s="11"/>
      <c r="Q27" s="11"/>
      <c r="R27" s="11"/>
      <c r="S27" s="11"/>
      <c r="T27" s="11"/>
      <c r="U27" s="11"/>
      <c r="V27" s="11"/>
      <c r="W27" s="11"/>
      <c r="X27" s="11"/>
      <c r="Y27" s="11"/>
      <c r="Z27" s="11"/>
      <c r="AA27" s="11"/>
    </row>
    <row r="28" spans="2:27">
      <c r="B28" s="98"/>
      <c r="C28" s="39" t="s">
        <v>115</v>
      </c>
      <c r="D28" s="33"/>
      <c r="E28" s="72" t="s">
        <v>116</v>
      </c>
      <c r="F28" s="72" t="s">
        <v>117</v>
      </c>
      <c r="G28" s="99"/>
      <c r="H28" s="15"/>
      <c r="I28" s="15"/>
      <c r="J28" s="15"/>
      <c r="K28" s="11"/>
      <c r="L28" s="11"/>
      <c r="M28" s="11"/>
      <c r="N28" s="11"/>
      <c r="O28" s="11"/>
      <c r="P28" s="11"/>
      <c r="Q28" s="11"/>
      <c r="R28" s="11"/>
      <c r="S28" s="11"/>
      <c r="T28" s="11"/>
      <c r="U28" s="11"/>
      <c r="V28" s="11"/>
      <c r="W28" s="11"/>
      <c r="X28" s="11"/>
      <c r="Y28" s="11"/>
      <c r="Z28" s="11"/>
      <c r="AA28" s="11"/>
    </row>
    <row r="29" spans="2:27" ht="43" customHeight="1">
      <c r="B29" s="98"/>
      <c r="C29" s="38" t="s">
        <v>119</v>
      </c>
      <c r="D29" s="33"/>
      <c r="E29" s="73" t="s">
        <v>179</v>
      </c>
      <c r="F29" s="73" t="s">
        <v>120</v>
      </c>
      <c r="G29" s="99"/>
      <c r="H29" s="15"/>
      <c r="I29" s="15"/>
      <c r="J29" s="15"/>
      <c r="K29" s="11"/>
      <c r="L29" s="11"/>
      <c r="M29" s="11"/>
      <c r="N29" s="11"/>
      <c r="O29" s="11"/>
      <c r="P29" s="11"/>
      <c r="Q29" s="11"/>
      <c r="R29" s="11"/>
      <c r="S29" s="11"/>
      <c r="T29" s="11"/>
      <c r="U29" s="11"/>
      <c r="V29" s="11"/>
      <c r="W29" s="11"/>
      <c r="X29" s="11"/>
      <c r="Y29" s="11"/>
      <c r="Z29" s="11"/>
      <c r="AA29" s="11"/>
    </row>
    <row r="30" spans="2:27" ht="70">
      <c r="B30" s="98"/>
      <c r="C30" s="38" t="s">
        <v>121</v>
      </c>
      <c r="D30" s="34"/>
      <c r="E30" s="73" t="s">
        <v>299</v>
      </c>
      <c r="F30" s="73" t="s">
        <v>136</v>
      </c>
      <c r="G30" s="99"/>
      <c r="H30" s="15"/>
      <c r="I30" s="15"/>
      <c r="J30" s="15"/>
      <c r="K30" s="11"/>
      <c r="L30" s="11"/>
      <c r="M30" s="11"/>
      <c r="N30" s="11"/>
      <c r="O30" s="11"/>
      <c r="P30" s="11"/>
      <c r="Q30" s="11"/>
      <c r="R30" s="11"/>
      <c r="S30" s="11"/>
      <c r="T30" s="11"/>
      <c r="U30" s="11"/>
      <c r="V30" s="11"/>
      <c r="W30" s="11"/>
      <c r="X30" s="11"/>
      <c r="Y30" s="11"/>
      <c r="Z30" s="11"/>
      <c r="AA30" s="11"/>
    </row>
    <row r="31" spans="2:27" ht="28">
      <c r="B31" s="98"/>
      <c r="C31" s="38" t="s">
        <v>122</v>
      </c>
      <c r="D31" s="74"/>
      <c r="E31" s="73" t="s">
        <v>130</v>
      </c>
      <c r="F31" s="73" t="s">
        <v>123</v>
      </c>
      <c r="G31" s="99"/>
      <c r="H31" s="15"/>
      <c r="I31" s="15"/>
      <c r="J31" s="15"/>
      <c r="K31" s="11"/>
      <c r="L31" s="11"/>
      <c r="M31" s="11"/>
      <c r="N31" s="11"/>
      <c r="O31" s="11"/>
      <c r="P31" s="11"/>
      <c r="Q31" s="11"/>
      <c r="R31" s="11"/>
      <c r="S31" s="11"/>
      <c r="T31" s="11"/>
      <c r="U31" s="11"/>
      <c r="V31" s="11"/>
      <c r="W31" s="11"/>
      <c r="X31" s="11"/>
      <c r="Y31" s="11"/>
      <c r="Z31" s="11"/>
      <c r="AA31" s="11"/>
    </row>
    <row r="32" spans="2:27">
      <c r="B32" s="98"/>
      <c r="C32" s="36" t="s">
        <v>191</v>
      </c>
      <c r="D32" s="35"/>
      <c r="E32" s="346">
        <f>F71/100</f>
        <v>0.55620000000000003</v>
      </c>
      <c r="F32" s="346">
        <f>F72/100</f>
        <v>0.44380000000000003</v>
      </c>
      <c r="G32" s="99"/>
      <c r="H32" s="15"/>
      <c r="I32" s="15"/>
      <c r="J32" s="15"/>
      <c r="K32" s="11"/>
      <c r="L32" s="11"/>
      <c r="M32" s="11"/>
      <c r="N32" s="11"/>
      <c r="O32" s="11"/>
      <c r="P32" s="11"/>
      <c r="Q32" s="11"/>
      <c r="R32" s="11"/>
      <c r="S32" s="11"/>
      <c r="T32" s="11"/>
      <c r="U32" s="11"/>
      <c r="V32" s="11"/>
      <c r="W32" s="11"/>
      <c r="X32" s="11"/>
      <c r="Y32" s="11"/>
      <c r="Z32" s="11"/>
      <c r="AA32" s="11"/>
    </row>
    <row r="33" spans="2:27">
      <c r="B33" s="98"/>
      <c r="C33" s="39"/>
      <c r="D33" s="40"/>
      <c r="E33" s="41"/>
      <c r="F33" s="41"/>
      <c r="G33" s="99"/>
      <c r="H33" s="15"/>
      <c r="I33" s="15"/>
      <c r="J33" s="15"/>
      <c r="K33" s="11"/>
      <c r="L33" s="11"/>
      <c r="M33" s="11"/>
      <c r="N33" s="11"/>
      <c r="O33" s="11"/>
      <c r="P33" s="11"/>
      <c r="Q33" s="11"/>
      <c r="R33" s="11"/>
      <c r="S33" s="11"/>
      <c r="T33" s="11"/>
      <c r="U33" s="11"/>
      <c r="V33" s="11"/>
      <c r="W33" s="11"/>
      <c r="X33" s="11"/>
      <c r="Y33" s="11"/>
      <c r="Z33" s="11"/>
      <c r="AA33" s="11"/>
    </row>
    <row r="34" spans="2:27">
      <c r="B34" s="98"/>
      <c r="C34" s="74"/>
      <c r="D34" s="108"/>
      <c r="E34" s="108"/>
      <c r="F34" s="109"/>
      <c r="G34" s="99"/>
      <c r="H34" s="15"/>
      <c r="I34" s="15"/>
      <c r="J34" s="15"/>
      <c r="K34" s="11"/>
      <c r="L34" s="11"/>
      <c r="M34" s="11"/>
      <c r="N34" s="11"/>
      <c r="O34" s="11"/>
      <c r="P34" s="11"/>
      <c r="Q34" s="11"/>
      <c r="R34" s="11"/>
      <c r="S34" s="11"/>
      <c r="T34" s="11"/>
      <c r="U34" s="11"/>
      <c r="V34" s="11"/>
      <c r="W34" s="11"/>
      <c r="X34" s="11"/>
      <c r="Y34" s="11"/>
      <c r="Z34" s="11"/>
      <c r="AA34" s="11"/>
    </row>
    <row r="35" spans="2:27">
      <c r="B35" s="100"/>
      <c r="C35" s="110" t="s">
        <v>26</v>
      </c>
      <c r="D35" s="410" t="s">
        <v>507</v>
      </c>
      <c r="E35" s="24"/>
      <c r="F35" s="347">
        <f>F36+F37</f>
        <v>1573.818</v>
      </c>
      <c r="G35" s="99" t="s">
        <v>140</v>
      </c>
      <c r="H35" s="15"/>
      <c r="I35" s="15"/>
      <c r="J35" s="15"/>
      <c r="K35" s="11"/>
      <c r="L35" s="11"/>
      <c r="M35" s="11"/>
      <c r="N35" s="11"/>
      <c r="O35" s="11"/>
      <c r="P35" s="11"/>
      <c r="Q35" s="11"/>
      <c r="R35" s="11"/>
      <c r="S35" s="11"/>
      <c r="T35" s="11"/>
      <c r="U35" s="11"/>
      <c r="V35" s="11"/>
      <c r="W35" s="11"/>
      <c r="X35" s="11"/>
      <c r="Y35" s="11"/>
      <c r="Z35" s="11"/>
      <c r="AA35" s="11"/>
    </row>
    <row r="36" spans="2:27">
      <c r="B36" s="100"/>
      <c r="C36" s="24" t="s">
        <v>13</v>
      </c>
      <c r="D36" s="410" t="s">
        <v>507</v>
      </c>
      <c r="E36" s="112"/>
      <c r="F36" s="348">
        <f>F52</f>
        <v>1204.354</v>
      </c>
      <c r="G36" s="99" t="s">
        <v>140</v>
      </c>
      <c r="H36" s="15"/>
      <c r="I36" s="15"/>
      <c r="J36" s="15"/>
      <c r="K36" s="11"/>
      <c r="L36" s="11"/>
      <c r="M36" s="11"/>
      <c r="N36" s="11"/>
      <c r="O36" s="11"/>
      <c r="P36" s="11"/>
      <c r="Q36" s="11"/>
      <c r="R36" s="11"/>
      <c r="S36" s="11"/>
      <c r="T36" s="11"/>
      <c r="U36" s="11"/>
      <c r="V36" s="11"/>
      <c r="W36" s="11"/>
      <c r="X36" s="11"/>
      <c r="Y36" s="11"/>
      <c r="Z36" s="11"/>
      <c r="AA36" s="11"/>
    </row>
    <row r="37" spans="2:27">
      <c r="B37" s="100"/>
      <c r="C37" s="24" t="s">
        <v>4</v>
      </c>
      <c r="D37" s="410" t="s">
        <v>507</v>
      </c>
      <c r="E37" s="112"/>
      <c r="F37" s="349">
        <f>F55</f>
        <v>369.464</v>
      </c>
      <c r="G37" s="99" t="s">
        <v>140</v>
      </c>
      <c r="H37" s="15"/>
      <c r="I37" s="15"/>
      <c r="J37" s="15"/>
      <c r="K37" s="11"/>
      <c r="L37" s="11"/>
      <c r="M37" s="11"/>
      <c r="N37" s="11"/>
      <c r="O37" s="11"/>
      <c r="P37" s="11"/>
      <c r="Q37" s="11"/>
      <c r="R37" s="11"/>
      <c r="S37" s="11"/>
      <c r="T37" s="11"/>
      <c r="U37" s="11"/>
      <c r="V37" s="11"/>
      <c r="W37" s="11"/>
      <c r="X37" s="11"/>
      <c r="Y37" s="11"/>
      <c r="Z37" s="11"/>
      <c r="AA37" s="11"/>
    </row>
    <row r="38" spans="2:27">
      <c r="B38" s="100"/>
      <c r="C38" s="24"/>
      <c r="D38" s="24"/>
      <c r="E38" s="112"/>
      <c r="F38" s="113"/>
      <c r="G38" s="99"/>
      <c r="H38" s="15"/>
      <c r="I38" s="15"/>
      <c r="J38" s="15"/>
      <c r="K38" s="11"/>
      <c r="L38" s="11"/>
      <c r="M38" s="11"/>
      <c r="N38" s="11"/>
      <c r="O38" s="11"/>
      <c r="P38" s="11"/>
      <c r="Q38" s="11"/>
      <c r="R38" s="11"/>
      <c r="S38" s="11"/>
      <c r="T38" s="11"/>
      <c r="U38" s="11"/>
      <c r="V38" s="11"/>
      <c r="W38" s="11"/>
      <c r="X38" s="11"/>
      <c r="Y38" s="11"/>
      <c r="Z38" s="11"/>
      <c r="AA38" s="11"/>
    </row>
    <row r="39" spans="2:27">
      <c r="B39" s="100"/>
      <c r="C39" s="110" t="s">
        <v>30</v>
      </c>
      <c r="D39" s="410" t="s">
        <v>507</v>
      </c>
      <c r="E39" s="112"/>
      <c r="F39" s="347">
        <f>F47</f>
        <v>1099.4970000000001</v>
      </c>
      <c r="G39" s="99" t="s">
        <v>140</v>
      </c>
      <c r="H39" s="15"/>
      <c r="I39" s="15"/>
      <c r="J39" s="15"/>
      <c r="K39" s="11"/>
      <c r="L39" s="11"/>
      <c r="M39" s="11"/>
      <c r="N39" s="11"/>
      <c r="O39" s="11"/>
      <c r="P39" s="11"/>
      <c r="Q39" s="11"/>
      <c r="R39" s="11"/>
      <c r="S39" s="11"/>
      <c r="T39" s="11"/>
      <c r="U39" s="11"/>
      <c r="V39" s="11"/>
      <c r="W39" s="11"/>
      <c r="X39" s="11"/>
      <c r="Y39" s="11"/>
      <c r="Z39" s="11"/>
      <c r="AA39" s="11"/>
    </row>
    <row r="40" spans="2:27">
      <c r="B40" s="100"/>
      <c r="C40" s="110" t="s">
        <v>31</v>
      </c>
      <c r="D40" s="410" t="s">
        <v>507</v>
      </c>
      <c r="E40" s="112"/>
      <c r="F40" s="350">
        <f>F48+F49</f>
        <v>93.299000000000007</v>
      </c>
      <c r="G40" s="99" t="s">
        <v>140</v>
      </c>
      <c r="H40" s="15"/>
      <c r="I40" s="15"/>
      <c r="J40" s="15"/>
      <c r="K40" s="11"/>
      <c r="L40" s="11"/>
      <c r="M40" s="11"/>
      <c r="N40" s="11"/>
      <c r="O40" s="11"/>
      <c r="P40" s="11"/>
      <c r="Q40" s="11"/>
      <c r="R40" s="11"/>
      <c r="S40" s="11"/>
      <c r="T40" s="11"/>
      <c r="U40" s="11"/>
      <c r="V40" s="11"/>
      <c r="W40" s="11"/>
      <c r="X40" s="11"/>
      <c r="Y40" s="11"/>
      <c r="Z40" s="11"/>
      <c r="AA40" s="11"/>
    </row>
    <row r="41" spans="2:27">
      <c r="B41" s="100"/>
      <c r="C41" s="110" t="s">
        <v>182</v>
      </c>
      <c r="D41" s="410" t="s">
        <v>507</v>
      </c>
      <c r="E41" s="112"/>
      <c r="F41" s="351">
        <f>F50+F51</f>
        <v>11.558</v>
      </c>
      <c r="G41" s="99" t="s">
        <v>140</v>
      </c>
      <c r="H41" s="15"/>
      <c r="I41" s="15"/>
      <c r="J41" s="15"/>
      <c r="K41" s="11"/>
      <c r="L41" s="11"/>
      <c r="M41" s="11"/>
      <c r="N41" s="11"/>
      <c r="O41" s="11"/>
      <c r="P41" s="11"/>
      <c r="Q41" s="11"/>
      <c r="R41" s="11"/>
      <c r="S41" s="11"/>
      <c r="T41" s="11"/>
      <c r="U41" s="11"/>
      <c r="V41" s="11"/>
      <c r="W41" s="11"/>
      <c r="X41" s="11"/>
      <c r="Y41" s="11"/>
      <c r="Z41" s="11"/>
      <c r="AA41" s="11"/>
    </row>
    <row r="42" spans="2:27" ht="8" customHeight="1">
      <c r="B42" s="100"/>
      <c r="C42" s="24"/>
      <c r="D42" s="24"/>
      <c r="E42" s="112"/>
      <c r="F42" s="113"/>
      <c r="G42" s="99"/>
      <c r="H42" s="15"/>
      <c r="I42" s="15"/>
      <c r="J42" s="15"/>
      <c r="K42" s="11"/>
      <c r="L42" s="11"/>
      <c r="M42" s="11"/>
      <c r="N42" s="11"/>
      <c r="O42" s="11"/>
      <c r="P42" s="11"/>
      <c r="Q42" s="11"/>
      <c r="R42" s="11"/>
      <c r="S42" s="11"/>
      <c r="T42" s="11"/>
      <c r="U42" s="11"/>
      <c r="V42" s="11"/>
      <c r="W42" s="11"/>
      <c r="X42" s="11"/>
      <c r="Y42" s="11"/>
      <c r="Z42" s="11"/>
      <c r="AA42" s="11"/>
    </row>
    <row r="43" spans="2:27">
      <c r="B43" s="490" t="s">
        <v>128</v>
      </c>
      <c r="C43" s="491"/>
      <c r="D43" s="491"/>
      <c r="E43" s="491"/>
      <c r="F43" s="491"/>
      <c r="G43" s="492"/>
      <c r="H43" s="15"/>
      <c r="I43" s="15"/>
      <c r="J43" s="15"/>
      <c r="K43" s="11"/>
      <c r="L43" s="11"/>
      <c r="M43" s="11"/>
      <c r="N43" s="11"/>
      <c r="O43" s="11"/>
      <c r="P43" s="11"/>
      <c r="Q43" s="11"/>
      <c r="R43" s="11"/>
      <c r="S43" s="11"/>
      <c r="T43" s="11"/>
      <c r="U43" s="11"/>
      <c r="V43" s="11"/>
      <c r="W43" s="11"/>
      <c r="X43" s="11"/>
      <c r="Y43" s="11"/>
      <c r="Z43" s="11"/>
      <c r="AA43" s="11"/>
    </row>
    <row r="44" spans="2:27">
      <c r="B44" s="490" t="s">
        <v>129</v>
      </c>
      <c r="C44" s="491"/>
      <c r="D44" s="491"/>
      <c r="E44" s="491"/>
      <c r="F44" s="491"/>
      <c r="G44" s="492"/>
      <c r="H44" s="15"/>
      <c r="I44" s="15"/>
      <c r="J44" s="15"/>
      <c r="K44" s="11"/>
      <c r="L44" s="11"/>
      <c r="M44" s="11"/>
      <c r="N44" s="11"/>
      <c r="O44" s="11"/>
      <c r="P44" s="11"/>
      <c r="Q44" s="11"/>
      <c r="R44" s="11"/>
      <c r="S44" s="11"/>
      <c r="T44" s="11"/>
      <c r="U44" s="11"/>
      <c r="V44" s="11"/>
      <c r="W44" s="11"/>
      <c r="X44" s="11"/>
      <c r="Y44" s="11"/>
      <c r="Z44" s="11"/>
      <c r="AA44" s="11"/>
    </row>
    <row r="45" spans="2:27">
      <c r="B45" s="100"/>
      <c r="C45" s="24"/>
      <c r="D45" s="24"/>
      <c r="E45" s="24"/>
      <c r="F45" s="24"/>
      <c r="G45" s="115"/>
      <c r="H45" s="15"/>
      <c r="I45" s="15"/>
      <c r="J45" s="15"/>
      <c r="K45" s="11"/>
      <c r="L45" s="11"/>
      <c r="M45" s="11"/>
      <c r="N45" s="11"/>
      <c r="O45" s="11"/>
      <c r="P45" s="11"/>
      <c r="Q45" s="11"/>
      <c r="R45" s="11"/>
      <c r="S45" s="11"/>
      <c r="T45" s="11"/>
      <c r="U45" s="11"/>
      <c r="V45" s="11"/>
      <c r="W45" s="11"/>
      <c r="X45" s="11"/>
      <c r="Y45" s="11"/>
      <c r="Z45" s="11"/>
      <c r="AA45" s="11"/>
    </row>
    <row r="46" spans="2:27">
      <c r="B46" s="100"/>
      <c r="C46" s="116" t="s">
        <v>235</v>
      </c>
      <c r="D46" s="24"/>
      <c r="E46" s="24"/>
      <c r="F46" s="109"/>
      <c r="G46" s="117"/>
      <c r="H46" s="15"/>
      <c r="I46" s="15"/>
      <c r="J46" s="15"/>
      <c r="K46" s="11"/>
      <c r="L46" s="11"/>
      <c r="M46" s="11"/>
      <c r="N46" s="11"/>
      <c r="O46" s="11"/>
      <c r="P46" s="11"/>
      <c r="Q46" s="11"/>
      <c r="R46" s="11"/>
      <c r="S46" s="11"/>
      <c r="T46" s="11"/>
      <c r="U46" s="11"/>
      <c r="V46" s="11"/>
      <c r="W46" s="11"/>
      <c r="X46" s="11"/>
      <c r="Y46" s="11"/>
      <c r="Z46" s="11"/>
      <c r="AA46" s="11"/>
    </row>
    <row r="47" spans="2:27">
      <c r="B47" s="100"/>
      <c r="C47" s="118" t="s">
        <v>134</v>
      </c>
      <c r="D47" s="410" t="s">
        <v>507</v>
      </c>
      <c r="E47" s="24"/>
      <c r="F47" s="411">
        <v>1099.4970000000001</v>
      </c>
      <c r="G47" s="99" t="s">
        <v>140</v>
      </c>
      <c r="H47" s="15"/>
      <c r="I47" s="15"/>
      <c r="J47" s="15"/>
      <c r="K47" s="11"/>
      <c r="L47" s="11"/>
      <c r="M47" s="11"/>
      <c r="N47" s="11"/>
      <c r="O47" s="11"/>
      <c r="P47" s="11"/>
      <c r="Q47" s="11"/>
      <c r="R47" s="11"/>
      <c r="S47" s="11"/>
      <c r="T47" s="11"/>
      <c r="U47" s="11"/>
      <c r="V47" s="11"/>
      <c r="W47" s="11"/>
      <c r="X47" s="11"/>
      <c r="Y47" s="11"/>
      <c r="Z47" s="11"/>
      <c r="AA47" s="11"/>
    </row>
    <row r="48" spans="2:27">
      <c r="B48" s="100"/>
      <c r="C48" s="118" t="s">
        <v>37</v>
      </c>
      <c r="D48" s="410" t="s">
        <v>507</v>
      </c>
      <c r="E48" s="24"/>
      <c r="F48" s="412">
        <v>56.036000000000001</v>
      </c>
      <c r="G48" s="99" t="s">
        <v>140</v>
      </c>
      <c r="H48" s="15"/>
      <c r="I48" s="15"/>
      <c r="J48" s="15"/>
      <c r="K48" s="11"/>
      <c r="L48" s="11"/>
      <c r="M48" s="11"/>
      <c r="N48" s="11"/>
      <c r="O48" s="11"/>
      <c r="P48" s="11"/>
      <c r="Q48" s="11"/>
      <c r="R48" s="11"/>
      <c r="S48" s="11"/>
      <c r="T48" s="11"/>
      <c r="U48" s="11"/>
      <c r="V48" s="11"/>
      <c r="W48" s="11"/>
      <c r="X48" s="11"/>
      <c r="Y48" s="11"/>
      <c r="Z48" s="11"/>
      <c r="AA48" s="11"/>
    </row>
    <row r="49" spans="2:27">
      <c r="B49" s="100"/>
      <c r="C49" s="118" t="s">
        <v>38</v>
      </c>
      <c r="D49" s="410" t="s">
        <v>507</v>
      </c>
      <c r="E49" s="24"/>
      <c r="F49" s="412">
        <v>37.262999999999998</v>
      </c>
      <c r="G49" s="99" t="s">
        <v>140</v>
      </c>
      <c r="H49" s="15"/>
      <c r="I49" s="15"/>
      <c r="J49" s="15"/>
      <c r="K49" s="11"/>
      <c r="L49" s="11"/>
      <c r="M49" s="11"/>
      <c r="N49" s="11"/>
      <c r="O49" s="11"/>
      <c r="P49" s="11"/>
      <c r="Q49" s="11"/>
      <c r="R49" s="11"/>
      <c r="S49" s="11"/>
      <c r="T49" s="11"/>
      <c r="U49" s="11"/>
      <c r="V49" s="11"/>
      <c r="W49" s="11"/>
      <c r="X49" s="11"/>
      <c r="Y49" s="11"/>
      <c r="Z49" s="11"/>
      <c r="AA49" s="11"/>
    </row>
    <row r="50" spans="2:27">
      <c r="B50" s="100"/>
      <c r="C50" s="118" t="s">
        <v>180</v>
      </c>
      <c r="D50" s="410" t="s">
        <v>507</v>
      </c>
      <c r="E50" s="24"/>
      <c r="F50" s="412">
        <v>5.5579999999999998</v>
      </c>
      <c r="G50" s="99" t="s">
        <v>140</v>
      </c>
      <c r="H50" s="15"/>
      <c r="I50" s="15"/>
      <c r="J50" s="15"/>
      <c r="K50" s="11"/>
      <c r="L50" s="11"/>
      <c r="M50" s="11"/>
      <c r="N50" s="11"/>
      <c r="O50" s="11"/>
      <c r="P50" s="11"/>
      <c r="Q50" s="11"/>
      <c r="R50" s="11"/>
      <c r="S50" s="11"/>
      <c r="T50" s="11"/>
      <c r="U50" s="11"/>
      <c r="V50" s="11"/>
      <c r="W50" s="11"/>
      <c r="X50" s="11"/>
      <c r="Y50" s="11"/>
      <c r="Z50" s="11"/>
      <c r="AA50" s="11"/>
    </row>
    <row r="51" spans="2:27">
      <c r="B51" s="100"/>
      <c r="C51" s="118" t="s">
        <v>181</v>
      </c>
      <c r="D51" s="410" t="s">
        <v>507</v>
      </c>
      <c r="E51" s="24"/>
      <c r="F51" s="412">
        <v>6</v>
      </c>
      <c r="G51" s="99" t="s">
        <v>140</v>
      </c>
      <c r="H51" s="15"/>
      <c r="I51" s="15"/>
      <c r="J51" s="15"/>
      <c r="K51" s="11"/>
      <c r="L51" s="11"/>
      <c r="M51" s="11"/>
      <c r="N51" s="11"/>
      <c r="O51" s="11"/>
      <c r="P51" s="11"/>
      <c r="Q51" s="11"/>
      <c r="R51" s="11"/>
      <c r="S51" s="11"/>
      <c r="T51" s="11"/>
      <c r="U51" s="11"/>
      <c r="V51" s="11"/>
      <c r="W51" s="11"/>
      <c r="X51" s="11"/>
      <c r="Y51" s="11"/>
      <c r="Z51" s="11"/>
      <c r="AA51" s="11"/>
    </row>
    <row r="52" spans="2:27">
      <c r="B52" s="100"/>
      <c r="C52" s="119" t="s">
        <v>40</v>
      </c>
      <c r="D52" s="24"/>
      <c r="E52" s="24"/>
      <c r="F52" s="352">
        <f t="shared" ref="F52" si="0">SUM(F47:F51)</f>
        <v>1204.354</v>
      </c>
      <c r="G52" s="99" t="s">
        <v>140</v>
      </c>
      <c r="H52" s="15"/>
      <c r="I52" s="15"/>
      <c r="J52" s="15"/>
      <c r="K52" s="11"/>
      <c r="L52" s="11"/>
      <c r="M52" s="11"/>
      <c r="N52" s="11"/>
      <c r="O52" s="11"/>
      <c r="P52" s="11"/>
      <c r="Q52" s="11"/>
      <c r="R52" s="11"/>
      <c r="S52" s="11"/>
      <c r="T52" s="11"/>
      <c r="U52" s="11"/>
      <c r="V52" s="11"/>
      <c r="W52" s="11"/>
      <c r="X52" s="11"/>
      <c r="Y52" s="11"/>
      <c r="Z52" s="11"/>
      <c r="AA52" s="11"/>
    </row>
    <row r="53" spans="2:27">
      <c r="B53" s="100"/>
      <c r="C53" s="118" t="s">
        <v>134</v>
      </c>
      <c r="D53" s="410" t="s">
        <v>507</v>
      </c>
      <c r="E53" s="24"/>
      <c r="F53" s="411">
        <v>223.85499999999999</v>
      </c>
      <c r="G53" s="99" t="s">
        <v>140</v>
      </c>
      <c r="H53" s="15"/>
      <c r="I53" s="15"/>
      <c r="J53" s="15"/>
      <c r="K53" s="11"/>
      <c r="L53" s="11"/>
      <c r="M53" s="11"/>
      <c r="N53" s="11"/>
      <c r="O53" s="11"/>
      <c r="P53" s="11"/>
      <c r="Q53" s="11"/>
      <c r="R53" s="11"/>
      <c r="S53" s="11"/>
      <c r="T53" s="11"/>
      <c r="U53" s="11"/>
      <c r="V53" s="11"/>
      <c r="W53" s="11"/>
      <c r="X53" s="11"/>
      <c r="Y53" s="11"/>
      <c r="Z53" s="11"/>
      <c r="AA53" s="11"/>
    </row>
    <row r="54" spans="2:27">
      <c r="B54" s="100"/>
      <c r="C54" s="118" t="s">
        <v>22</v>
      </c>
      <c r="D54" s="410" t="s">
        <v>507</v>
      </c>
      <c r="E54" s="24"/>
      <c r="F54" s="412">
        <v>145.60900000000001</v>
      </c>
      <c r="G54" s="99" t="s">
        <v>140</v>
      </c>
      <c r="H54" s="15"/>
      <c r="I54" s="15"/>
      <c r="J54" s="15"/>
      <c r="K54" s="11"/>
      <c r="L54" s="11"/>
      <c r="M54" s="11"/>
      <c r="N54" s="11"/>
      <c r="O54" s="11"/>
      <c r="P54" s="11"/>
      <c r="Q54" s="11"/>
      <c r="R54" s="11"/>
      <c r="S54" s="11"/>
      <c r="T54" s="11"/>
      <c r="U54" s="11"/>
      <c r="V54" s="11"/>
      <c r="W54" s="11"/>
      <c r="X54" s="11"/>
      <c r="Y54" s="11"/>
      <c r="Z54" s="11"/>
      <c r="AA54" s="11"/>
    </row>
    <row r="55" spans="2:27">
      <c r="B55" s="100"/>
      <c r="C55" s="119" t="s">
        <v>465</v>
      </c>
      <c r="D55" s="24"/>
      <c r="E55" s="24"/>
      <c r="F55" s="352">
        <f>SUM(F53:F54)</f>
        <v>369.464</v>
      </c>
      <c r="G55" s="99" t="s">
        <v>140</v>
      </c>
      <c r="H55" s="15"/>
      <c r="I55" s="15"/>
      <c r="J55" s="15"/>
      <c r="K55" s="11"/>
      <c r="L55" s="11"/>
      <c r="M55" s="11"/>
      <c r="N55" s="11"/>
      <c r="O55" s="11"/>
      <c r="P55" s="11"/>
      <c r="Q55" s="11"/>
      <c r="R55" s="11"/>
      <c r="S55" s="11"/>
      <c r="T55" s="11"/>
      <c r="U55" s="11"/>
      <c r="V55" s="11"/>
      <c r="W55" s="11"/>
      <c r="X55" s="11"/>
      <c r="Y55" s="11"/>
      <c r="Z55" s="11"/>
      <c r="AA55" s="11"/>
    </row>
    <row r="56" spans="2:27">
      <c r="B56" s="100"/>
      <c r="G56" s="99"/>
      <c r="H56" s="15"/>
      <c r="I56" s="15"/>
      <c r="J56" s="15"/>
      <c r="K56" s="11"/>
      <c r="L56" s="11"/>
      <c r="M56" s="11"/>
      <c r="N56" s="11"/>
      <c r="O56" s="11"/>
      <c r="P56" s="11"/>
      <c r="Q56" s="11"/>
      <c r="R56" s="11"/>
      <c r="S56" s="11"/>
      <c r="T56" s="11"/>
      <c r="U56" s="11"/>
      <c r="V56" s="11"/>
      <c r="W56" s="11"/>
      <c r="X56" s="11"/>
      <c r="Y56" s="11"/>
      <c r="Z56" s="11"/>
      <c r="AA56" s="11"/>
    </row>
    <row r="57" spans="2:27">
      <c r="B57" s="100"/>
      <c r="C57" s="119" t="s">
        <v>39</v>
      </c>
      <c r="D57" s="24"/>
      <c r="E57" s="24"/>
      <c r="F57" s="353">
        <f>+F55+F52</f>
        <v>1573.818</v>
      </c>
      <c r="G57" s="99" t="s">
        <v>140</v>
      </c>
      <c r="H57" s="15"/>
      <c r="I57" s="15"/>
      <c r="J57" s="15"/>
      <c r="K57" s="11"/>
      <c r="L57" s="11"/>
      <c r="M57" s="11"/>
      <c r="N57" s="11"/>
      <c r="O57" s="11"/>
      <c r="P57" s="11"/>
      <c r="Q57" s="11"/>
      <c r="R57" s="11"/>
      <c r="S57" s="11"/>
      <c r="T57" s="11"/>
      <c r="U57" s="11"/>
      <c r="V57" s="11"/>
      <c r="W57" s="11"/>
      <c r="X57" s="11"/>
      <c r="Y57" s="11"/>
      <c r="Z57" s="11"/>
      <c r="AA57" s="11"/>
    </row>
    <row r="58" spans="2:27">
      <c r="B58" s="339" t="s">
        <v>466</v>
      </c>
      <c r="G58" s="99"/>
      <c r="H58" s="15"/>
      <c r="I58" s="15"/>
      <c r="J58" s="15"/>
      <c r="K58" s="11"/>
      <c r="L58" s="11"/>
      <c r="M58" s="11"/>
      <c r="N58" s="11"/>
      <c r="O58" s="11"/>
      <c r="P58" s="11"/>
      <c r="Q58" s="11"/>
      <c r="R58" s="11"/>
      <c r="S58" s="11"/>
      <c r="T58" s="11"/>
      <c r="U58" s="11"/>
      <c r="V58" s="11"/>
      <c r="W58" s="11"/>
      <c r="X58" s="11"/>
      <c r="Y58" s="11"/>
      <c r="Z58" s="11"/>
      <c r="AA58" s="11"/>
    </row>
    <row r="59" spans="2:27">
      <c r="B59" s="339"/>
      <c r="C59" s="58"/>
      <c r="D59" s="58"/>
      <c r="E59" s="58"/>
      <c r="F59" s="120"/>
      <c r="G59" s="101"/>
      <c r="H59" s="15"/>
      <c r="I59" s="15"/>
      <c r="J59" s="15"/>
      <c r="K59" s="11"/>
      <c r="L59" s="11"/>
      <c r="M59" s="11"/>
      <c r="N59" s="11"/>
      <c r="O59" s="11"/>
      <c r="P59" s="11"/>
      <c r="Q59" s="11"/>
      <c r="R59" s="11"/>
      <c r="S59" s="11"/>
      <c r="T59" s="11"/>
      <c r="U59" s="11"/>
      <c r="V59" s="11"/>
      <c r="W59" s="11"/>
      <c r="X59" s="11"/>
      <c r="Y59" s="11"/>
      <c r="Z59" s="11"/>
      <c r="AA59" s="11"/>
    </row>
    <row r="60" spans="2:27">
      <c r="B60" s="398" t="s">
        <v>239</v>
      </c>
      <c r="C60" s="402"/>
      <c r="D60" s="402"/>
      <c r="E60" s="402"/>
      <c r="F60" s="403"/>
      <c r="G60" s="404"/>
      <c r="H60" s="15"/>
      <c r="I60" s="15"/>
      <c r="J60" s="15"/>
      <c r="K60" s="11"/>
      <c r="L60" s="11"/>
      <c r="M60" s="11"/>
      <c r="N60" s="11"/>
      <c r="O60" s="11"/>
      <c r="P60" s="11"/>
      <c r="Q60" s="11"/>
      <c r="R60" s="11"/>
      <c r="S60" s="11"/>
      <c r="T60" s="11"/>
      <c r="U60" s="11"/>
      <c r="V60" s="11"/>
      <c r="W60" s="11"/>
      <c r="X60" s="11"/>
      <c r="Y60" s="11"/>
      <c r="Z60" s="11"/>
      <c r="AA60" s="11"/>
    </row>
    <row r="61" spans="2:27">
      <c r="B61" s="121" t="s">
        <v>240</v>
      </c>
      <c r="C61" s="24"/>
      <c r="D61" s="40"/>
      <c r="E61" s="24"/>
      <c r="F61" s="122"/>
      <c r="G61" s="99"/>
      <c r="H61" s="15"/>
      <c r="I61" s="15"/>
      <c r="J61" s="15"/>
      <c r="K61" s="11"/>
      <c r="L61" s="11"/>
      <c r="M61" s="11"/>
      <c r="N61" s="11"/>
      <c r="O61" s="11"/>
      <c r="P61" s="11"/>
      <c r="Q61" s="11"/>
      <c r="R61" s="11"/>
      <c r="S61" s="11"/>
      <c r="T61" s="11"/>
      <c r="U61" s="11"/>
      <c r="V61" s="11"/>
      <c r="W61" s="11"/>
      <c r="X61" s="11"/>
      <c r="Y61" s="11"/>
      <c r="Z61" s="11"/>
      <c r="AA61" s="11"/>
    </row>
    <row r="62" spans="2:27">
      <c r="B62" s="100"/>
      <c r="C62" s="24"/>
      <c r="D62" s="40"/>
      <c r="E62" s="24"/>
      <c r="F62" s="122"/>
      <c r="G62" s="99"/>
      <c r="H62" s="15"/>
      <c r="I62" s="15"/>
      <c r="J62" s="15"/>
      <c r="K62" s="11"/>
      <c r="L62" s="11"/>
      <c r="M62" s="11"/>
      <c r="N62" s="11"/>
      <c r="O62" s="11"/>
      <c r="P62" s="11"/>
      <c r="Q62" s="11"/>
      <c r="R62" s="11"/>
      <c r="S62" s="11"/>
      <c r="T62" s="11"/>
      <c r="U62" s="11"/>
      <c r="V62" s="11"/>
      <c r="W62" s="11"/>
      <c r="X62" s="11"/>
      <c r="Y62" s="11"/>
      <c r="Z62" s="11"/>
      <c r="AA62" s="11"/>
    </row>
    <row r="63" spans="2:27">
      <c r="B63" s="100"/>
      <c r="C63" s="110" t="s">
        <v>508</v>
      </c>
      <c r="D63" s="111" t="s">
        <v>249</v>
      </c>
      <c r="E63" s="24"/>
      <c r="F63" s="413" t="s">
        <v>183</v>
      </c>
      <c r="G63" s="99" t="s">
        <v>184</v>
      </c>
      <c r="H63" s="15"/>
      <c r="I63" s="15"/>
      <c r="J63" s="15"/>
      <c r="K63" s="11"/>
      <c r="L63" s="11"/>
      <c r="M63" s="11"/>
      <c r="N63" s="11"/>
      <c r="O63" s="11"/>
      <c r="P63" s="11"/>
      <c r="Q63" s="11"/>
      <c r="R63" s="11"/>
      <c r="S63" s="11"/>
      <c r="T63" s="11"/>
      <c r="U63" s="11"/>
      <c r="V63" s="11"/>
      <c r="W63" s="11"/>
      <c r="X63" s="11"/>
      <c r="Y63" s="11"/>
      <c r="Z63" s="11"/>
      <c r="AA63" s="11"/>
    </row>
    <row r="64" spans="2:27">
      <c r="B64" s="100"/>
      <c r="C64" s="24"/>
      <c r="D64" s="40"/>
      <c r="E64" s="24"/>
      <c r="F64" s="122"/>
      <c r="G64" s="99"/>
      <c r="H64" s="15"/>
      <c r="I64" s="15"/>
      <c r="J64" s="15"/>
      <c r="K64" s="11"/>
      <c r="L64" s="11"/>
      <c r="M64" s="11"/>
      <c r="N64" s="11"/>
      <c r="O64" s="11"/>
      <c r="P64" s="11"/>
      <c r="Q64" s="11"/>
      <c r="R64" s="11"/>
      <c r="S64" s="11"/>
      <c r="T64" s="11"/>
      <c r="U64" s="11"/>
      <c r="V64" s="11"/>
      <c r="W64" s="11"/>
      <c r="X64" s="11"/>
      <c r="Y64" s="11"/>
      <c r="Z64" s="11"/>
      <c r="AA64" s="11"/>
    </row>
    <row r="65" spans="2:27">
      <c r="B65" s="398" t="s">
        <v>29</v>
      </c>
      <c r="C65" s="399"/>
      <c r="D65" s="399"/>
      <c r="E65" s="399"/>
      <c r="F65" s="405"/>
      <c r="G65" s="401"/>
      <c r="H65" s="15"/>
      <c r="I65" s="15"/>
      <c r="J65" s="15"/>
      <c r="K65" s="11"/>
      <c r="L65" s="11"/>
      <c r="M65" s="11"/>
      <c r="N65" s="11"/>
      <c r="O65" s="11"/>
      <c r="P65" s="11"/>
      <c r="Q65" s="11"/>
      <c r="R65" s="11"/>
      <c r="S65" s="11"/>
      <c r="T65" s="11"/>
      <c r="U65" s="11"/>
      <c r="V65" s="11"/>
      <c r="W65" s="11"/>
      <c r="X65" s="11"/>
      <c r="Y65" s="11"/>
      <c r="Z65" s="11"/>
      <c r="AA65" s="11"/>
    </row>
    <row r="66" spans="2:27">
      <c r="B66" s="100"/>
      <c r="C66" s="24" t="s">
        <v>238</v>
      </c>
      <c r="D66" s="410" t="s">
        <v>507</v>
      </c>
      <c r="E66" s="124"/>
      <c r="F66" s="354">
        <f>F68*1000000/F67</f>
        <v>2178.7613940751639</v>
      </c>
      <c r="G66" s="99" t="s">
        <v>23</v>
      </c>
      <c r="H66" s="18"/>
      <c r="I66" s="15"/>
      <c r="J66" s="15"/>
      <c r="K66" s="11"/>
      <c r="L66" s="11"/>
      <c r="M66" s="11"/>
      <c r="N66" s="11"/>
      <c r="O66" s="11"/>
      <c r="P66" s="11"/>
      <c r="Q66" s="11"/>
      <c r="R66" s="11"/>
      <c r="S66" s="11"/>
      <c r="T66" s="11"/>
      <c r="U66" s="11"/>
      <c r="V66" s="11"/>
      <c r="W66" s="11"/>
      <c r="X66" s="11"/>
      <c r="Y66" s="11"/>
      <c r="Z66" s="11"/>
      <c r="AA66" s="11"/>
    </row>
    <row r="67" spans="2:27">
      <c r="B67" s="100"/>
      <c r="C67" s="24" t="s">
        <v>41</v>
      </c>
      <c r="D67" s="410" t="s">
        <v>507</v>
      </c>
      <c r="E67" s="125"/>
      <c r="F67" s="355">
        <f>F36</f>
        <v>1204.354</v>
      </c>
      <c r="G67" s="99" t="s">
        <v>140</v>
      </c>
      <c r="H67" s="18"/>
      <c r="I67" s="15"/>
      <c r="J67" s="15"/>
      <c r="K67" s="11"/>
      <c r="L67" s="11"/>
      <c r="M67" s="11"/>
      <c r="N67" s="11"/>
      <c r="O67" s="11"/>
      <c r="P67" s="11"/>
      <c r="Q67" s="11"/>
      <c r="R67" s="11"/>
      <c r="S67" s="11"/>
      <c r="T67" s="11"/>
      <c r="U67" s="11"/>
      <c r="V67" s="11"/>
      <c r="W67" s="11"/>
      <c r="X67" s="11"/>
      <c r="Y67" s="11"/>
      <c r="Z67" s="11"/>
      <c r="AA67" s="11"/>
    </row>
    <row r="68" spans="2:27">
      <c r="B68" s="100"/>
      <c r="C68" s="24" t="s">
        <v>236</v>
      </c>
      <c r="D68" s="410" t="s">
        <v>507</v>
      </c>
      <c r="E68" s="124"/>
      <c r="F68" s="414">
        <v>2.6240000000000001</v>
      </c>
      <c r="G68" s="99" t="s">
        <v>237</v>
      </c>
      <c r="H68" s="15"/>
      <c r="I68" s="15"/>
      <c r="J68" s="15"/>
      <c r="K68" s="11"/>
      <c r="L68" s="11"/>
      <c r="M68" s="11"/>
      <c r="N68" s="11"/>
      <c r="O68" s="11"/>
      <c r="P68" s="11"/>
      <c r="Q68" s="11"/>
      <c r="R68" s="11"/>
      <c r="S68" s="11"/>
      <c r="T68" s="11"/>
      <c r="U68" s="11"/>
      <c r="V68" s="11"/>
      <c r="W68" s="11"/>
      <c r="X68" s="11"/>
      <c r="Y68" s="11"/>
      <c r="Z68" s="11"/>
      <c r="AA68" s="11"/>
    </row>
    <row r="69" spans="2:27">
      <c r="B69" s="100"/>
      <c r="C69" s="24"/>
      <c r="D69" s="24"/>
      <c r="E69" s="24"/>
      <c r="F69" s="126"/>
      <c r="G69" s="99"/>
      <c r="H69" s="15"/>
      <c r="I69" s="15"/>
      <c r="J69" s="15"/>
      <c r="K69" s="11"/>
      <c r="L69" s="11"/>
      <c r="M69" s="11"/>
      <c r="N69" s="11"/>
      <c r="O69" s="11"/>
      <c r="P69" s="11"/>
      <c r="Q69" s="11"/>
      <c r="R69" s="11"/>
      <c r="S69" s="11"/>
      <c r="T69" s="11"/>
      <c r="U69" s="11"/>
      <c r="V69" s="11"/>
      <c r="W69" s="11"/>
      <c r="X69" s="11"/>
      <c r="Y69" s="11"/>
      <c r="Z69" s="11"/>
      <c r="AA69" s="11"/>
    </row>
    <row r="70" spans="2:27">
      <c r="B70" s="100"/>
      <c r="C70" s="127" t="s">
        <v>138</v>
      </c>
      <c r="D70" s="24"/>
      <c r="E70" s="24"/>
      <c r="F70" s="126"/>
      <c r="G70" s="99"/>
      <c r="H70" s="15"/>
      <c r="I70" s="15"/>
      <c r="J70" s="15"/>
      <c r="K70" s="11"/>
      <c r="L70" s="11"/>
      <c r="M70" s="11"/>
      <c r="N70" s="11"/>
      <c r="O70" s="11"/>
      <c r="P70" s="11"/>
      <c r="Q70" s="11"/>
      <c r="R70" s="11"/>
      <c r="S70" s="11"/>
      <c r="T70" s="11"/>
      <c r="U70" s="11"/>
      <c r="V70" s="11"/>
      <c r="W70" s="11"/>
      <c r="X70" s="11"/>
      <c r="Y70" s="11"/>
      <c r="Z70" s="11"/>
      <c r="AA70" s="11"/>
    </row>
    <row r="71" spans="2:27">
      <c r="B71" s="100"/>
      <c r="C71" s="24" t="s">
        <v>24</v>
      </c>
      <c r="D71" s="410" t="s">
        <v>192</v>
      </c>
      <c r="E71" s="24"/>
      <c r="F71" s="415">
        <f>100-F72</f>
        <v>55.62</v>
      </c>
      <c r="G71" s="99" t="s">
        <v>5</v>
      </c>
      <c r="H71" s="15"/>
      <c r="I71" s="15"/>
      <c r="J71" s="15"/>
      <c r="K71" s="11"/>
      <c r="L71" s="11"/>
      <c r="M71" s="11"/>
      <c r="N71" s="11"/>
      <c r="O71" s="11"/>
      <c r="P71" s="11"/>
      <c r="Q71" s="11"/>
      <c r="R71" s="11"/>
      <c r="S71" s="11"/>
      <c r="T71" s="11"/>
      <c r="U71" s="11"/>
      <c r="V71" s="11"/>
      <c r="W71" s="11"/>
      <c r="X71" s="11"/>
      <c r="Y71" s="11"/>
      <c r="Z71" s="11"/>
      <c r="AA71" s="11"/>
    </row>
    <row r="72" spans="2:27">
      <c r="B72" s="100"/>
      <c r="C72" s="24" t="s">
        <v>25</v>
      </c>
      <c r="D72" s="410" t="s">
        <v>192</v>
      </c>
      <c r="E72" s="24"/>
      <c r="F72" s="416">
        <v>44.38</v>
      </c>
      <c r="G72" s="99" t="s">
        <v>5</v>
      </c>
      <c r="H72" s="15"/>
      <c r="I72" s="15"/>
      <c r="J72" s="15"/>
      <c r="K72" s="11"/>
      <c r="L72" s="11"/>
      <c r="M72" s="11"/>
      <c r="N72" s="11"/>
      <c r="O72" s="11"/>
      <c r="P72" s="11"/>
      <c r="Q72" s="11"/>
      <c r="R72" s="11"/>
      <c r="S72" s="11"/>
      <c r="T72" s="11"/>
      <c r="U72" s="11"/>
      <c r="V72" s="11"/>
      <c r="W72" s="11"/>
      <c r="X72" s="11"/>
      <c r="Y72" s="11"/>
      <c r="Z72" s="11"/>
      <c r="AA72" s="11"/>
    </row>
    <row r="73" spans="2:27">
      <c r="B73" s="100"/>
      <c r="C73" s="24"/>
      <c r="D73" s="24"/>
      <c r="E73" s="128"/>
      <c r="F73" s="129"/>
      <c r="G73" s="99"/>
      <c r="H73" s="15"/>
      <c r="I73" s="15"/>
      <c r="J73" s="15"/>
      <c r="K73" s="11"/>
      <c r="L73" s="11"/>
      <c r="M73" s="11"/>
      <c r="N73" s="11"/>
      <c r="O73" s="11"/>
      <c r="P73" s="11"/>
      <c r="Q73" s="11"/>
      <c r="R73" s="11"/>
      <c r="S73" s="11"/>
      <c r="T73" s="11"/>
      <c r="U73" s="11"/>
      <c r="V73" s="11"/>
      <c r="W73" s="11"/>
      <c r="X73" s="11"/>
      <c r="Y73" s="11"/>
      <c r="Z73" s="11"/>
      <c r="AA73" s="11"/>
    </row>
    <row r="74" spans="2:27">
      <c r="B74" s="100"/>
      <c r="C74" s="127" t="s">
        <v>139</v>
      </c>
      <c r="D74" s="24"/>
      <c r="E74" s="128"/>
      <c r="F74" s="129"/>
      <c r="G74" s="99"/>
      <c r="H74" s="15"/>
      <c r="I74" s="15"/>
      <c r="J74" s="15"/>
      <c r="K74" s="11"/>
      <c r="L74" s="11"/>
      <c r="M74" s="11"/>
      <c r="N74" s="11"/>
      <c r="O74" s="11"/>
      <c r="P74" s="11"/>
      <c r="Q74" s="11"/>
      <c r="R74" s="11"/>
      <c r="S74" s="11"/>
      <c r="T74" s="11"/>
      <c r="U74" s="11"/>
      <c r="V74" s="11"/>
      <c r="W74" s="11"/>
      <c r="X74" s="11"/>
      <c r="Y74" s="11"/>
      <c r="Z74" s="11"/>
      <c r="AA74" s="11"/>
    </row>
    <row r="75" spans="2:27">
      <c r="B75" s="100"/>
      <c r="C75" s="24" t="s">
        <v>24</v>
      </c>
      <c r="D75" s="410" t="s">
        <v>192</v>
      </c>
      <c r="E75" s="128"/>
      <c r="F75" s="415">
        <f>100-F76</f>
        <v>74.930000000000007</v>
      </c>
      <c r="G75" s="99" t="s">
        <v>5</v>
      </c>
      <c r="H75" s="15"/>
      <c r="I75" s="15"/>
      <c r="J75" s="15"/>
      <c r="K75" s="11"/>
      <c r="L75" s="11"/>
      <c r="M75" s="11"/>
      <c r="N75" s="11"/>
      <c r="O75" s="11"/>
      <c r="P75" s="11"/>
      <c r="Q75" s="11"/>
      <c r="R75" s="11"/>
      <c r="S75" s="11"/>
      <c r="T75" s="11"/>
      <c r="U75" s="11"/>
      <c r="V75" s="11"/>
      <c r="W75" s="11"/>
      <c r="X75" s="11"/>
      <c r="Y75" s="11"/>
      <c r="Z75" s="11"/>
      <c r="AA75" s="11"/>
    </row>
    <row r="76" spans="2:27">
      <c r="B76" s="100"/>
      <c r="C76" s="24" t="s">
        <v>25</v>
      </c>
      <c r="D76" s="410" t="s">
        <v>192</v>
      </c>
      <c r="E76" s="128"/>
      <c r="F76" s="416">
        <v>25.07</v>
      </c>
      <c r="G76" s="99" t="s">
        <v>5</v>
      </c>
      <c r="H76" s="15"/>
      <c r="I76" s="15"/>
      <c r="J76" s="15"/>
      <c r="K76" s="11"/>
      <c r="L76" s="11"/>
      <c r="M76" s="11"/>
      <c r="N76" s="11"/>
      <c r="O76" s="11"/>
      <c r="P76" s="11"/>
      <c r="Q76" s="11"/>
      <c r="R76" s="11"/>
      <c r="S76" s="11"/>
      <c r="T76" s="11"/>
      <c r="U76" s="11"/>
      <c r="V76" s="11"/>
      <c r="W76" s="11"/>
      <c r="X76" s="11"/>
      <c r="Y76" s="11"/>
      <c r="Z76" s="11"/>
      <c r="AA76" s="11"/>
    </row>
    <row r="77" spans="2:27">
      <c r="B77" s="100"/>
      <c r="C77" s="24"/>
      <c r="D77" s="24"/>
      <c r="E77" s="128"/>
      <c r="F77" s="126"/>
      <c r="G77" s="99"/>
      <c r="H77" s="15"/>
      <c r="I77" s="15"/>
      <c r="J77" s="15"/>
      <c r="K77" s="11"/>
      <c r="L77" s="11"/>
      <c r="M77" s="11"/>
      <c r="N77" s="11"/>
      <c r="O77" s="11"/>
      <c r="P77" s="11"/>
      <c r="Q77" s="11"/>
      <c r="R77" s="11"/>
      <c r="S77" s="11"/>
      <c r="T77" s="11"/>
      <c r="U77" s="11"/>
      <c r="V77" s="11"/>
      <c r="W77" s="11"/>
      <c r="X77" s="11"/>
      <c r="Y77" s="11"/>
      <c r="Z77" s="11"/>
      <c r="AA77" s="11"/>
    </row>
    <row r="78" spans="2:27">
      <c r="B78" s="100"/>
      <c r="C78" s="110" t="s">
        <v>65</v>
      </c>
      <c r="D78" s="40"/>
      <c r="E78" s="128"/>
      <c r="F78" s="356">
        <f>F80-F79</f>
        <v>2500.6790000000001</v>
      </c>
      <c r="G78" s="99" t="s">
        <v>14</v>
      </c>
      <c r="H78" s="15"/>
      <c r="I78" s="15"/>
      <c r="J78" s="15"/>
      <c r="K78" s="11"/>
      <c r="L78" s="11"/>
      <c r="M78" s="11"/>
      <c r="N78" s="11"/>
      <c r="O78" s="11"/>
      <c r="P78" s="11"/>
      <c r="Q78" s="11"/>
      <c r="R78" s="11"/>
      <c r="S78" s="11"/>
      <c r="T78" s="11"/>
      <c r="U78" s="11"/>
      <c r="V78" s="11"/>
      <c r="W78" s="11"/>
      <c r="X78" s="11"/>
      <c r="Y78" s="11"/>
      <c r="Z78" s="11"/>
      <c r="AA78" s="11"/>
    </row>
    <row r="79" spans="2:27">
      <c r="B79" s="100"/>
      <c r="C79" s="24" t="s">
        <v>226</v>
      </c>
      <c r="D79" s="410" t="s">
        <v>509</v>
      </c>
      <c r="E79" s="128"/>
      <c r="F79" s="357">
        <f>F200</f>
        <v>-126.14100000000002</v>
      </c>
      <c r="G79" s="99" t="s">
        <v>14</v>
      </c>
      <c r="H79" s="15"/>
      <c r="I79" s="15"/>
      <c r="J79" s="15"/>
      <c r="K79" s="11"/>
      <c r="L79" s="11"/>
      <c r="M79" s="11"/>
      <c r="N79" s="11"/>
      <c r="O79" s="11"/>
      <c r="P79" s="11"/>
      <c r="Q79" s="11"/>
      <c r="R79" s="11"/>
      <c r="S79" s="11"/>
      <c r="T79" s="11"/>
      <c r="U79" s="11"/>
      <c r="V79" s="11"/>
      <c r="W79" s="11"/>
      <c r="X79" s="11"/>
      <c r="Y79" s="11"/>
      <c r="Z79" s="11"/>
      <c r="AA79" s="11"/>
    </row>
    <row r="80" spans="2:27">
      <c r="B80" s="100"/>
      <c r="C80" s="110" t="s">
        <v>157</v>
      </c>
      <c r="D80" s="410" t="s">
        <v>510</v>
      </c>
      <c r="E80" s="128"/>
      <c r="F80" s="417">
        <v>2374.538</v>
      </c>
      <c r="G80" s="99" t="s">
        <v>14</v>
      </c>
      <c r="H80" s="15"/>
      <c r="I80" s="15"/>
      <c r="J80" s="15"/>
      <c r="K80" s="11"/>
      <c r="L80" s="11"/>
      <c r="M80" s="11"/>
      <c r="N80" s="11"/>
      <c r="O80" s="11"/>
      <c r="P80" s="11"/>
      <c r="Q80" s="11"/>
      <c r="R80" s="11"/>
      <c r="S80" s="11"/>
      <c r="T80" s="11"/>
      <c r="U80" s="11"/>
      <c r="V80" s="11"/>
      <c r="W80" s="11"/>
      <c r="X80" s="11"/>
      <c r="Y80" s="11"/>
      <c r="Z80" s="11"/>
      <c r="AA80" s="11"/>
    </row>
    <row r="81" spans="2:27">
      <c r="B81" s="100"/>
      <c r="C81" s="24"/>
      <c r="D81" s="24"/>
      <c r="E81" s="130"/>
      <c r="F81" s="131"/>
      <c r="G81" s="99"/>
      <c r="H81" s="15"/>
      <c r="I81" s="15"/>
      <c r="J81" s="15"/>
      <c r="K81" s="11"/>
      <c r="L81" s="11"/>
      <c r="M81" s="11"/>
      <c r="N81" s="11"/>
      <c r="O81" s="11"/>
      <c r="P81" s="11"/>
      <c r="Q81" s="11"/>
      <c r="R81" s="11"/>
      <c r="S81" s="11"/>
      <c r="T81" s="11"/>
      <c r="U81" s="11"/>
      <c r="V81" s="11"/>
      <c r="W81" s="11"/>
      <c r="X81" s="11"/>
      <c r="Y81" s="11"/>
      <c r="Z81" s="11"/>
      <c r="AA81" s="11"/>
    </row>
    <row r="82" spans="2:27" ht="16.5" customHeight="1">
      <c r="B82" s="496" t="s">
        <v>243</v>
      </c>
      <c r="C82" s="497"/>
      <c r="D82" s="497"/>
      <c r="E82" s="497"/>
      <c r="F82" s="497"/>
      <c r="G82" s="498"/>
      <c r="H82" s="15"/>
      <c r="I82" s="15"/>
      <c r="J82" s="15"/>
      <c r="K82" s="11"/>
      <c r="L82" s="11"/>
      <c r="M82" s="11"/>
      <c r="N82" s="11"/>
      <c r="O82" s="11"/>
      <c r="P82" s="11"/>
      <c r="Q82" s="11"/>
      <c r="R82" s="11"/>
      <c r="S82" s="11"/>
      <c r="T82" s="11"/>
      <c r="U82" s="11"/>
      <c r="V82" s="11"/>
      <c r="W82" s="11"/>
      <c r="X82" s="11"/>
      <c r="Y82" s="11"/>
      <c r="Z82" s="11"/>
      <c r="AA82" s="11"/>
    </row>
    <row r="83" spans="2:27" ht="27.5" customHeight="1">
      <c r="B83" s="496" t="s">
        <v>244</v>
      </c>
      <c r="C83" s="497"/>
      <c r="D83" s="497"/>
      <c r="E83" s="497"/>
      <c r="F83" s="497"/>
      <c r="G83" s="498"/>
      <c r="H83" s="15"/>
      <c r="I83" s="15"/>
      <c r="J83" s="15"/>
      <c r="K83" s="11"/>
      <c r="L83" s="11"/>
      <c r="M83" s="11"/>
      <c r="N83" s="11"/>
      <c r="O83" s="11"/>
      <c r="P83" s="11"/>
      <c r="Q83" s="11"/>
      <c r="R83" s="11"/>
      <c r="S83" s="11"/>
      <c r="T83" s="11"/>
      <c r="U83" s="11"/>
      <c r="V83" s="11"/>
      <c r="W83" s="11"/>
      <c r="X83" s="11"/>
      <c r="Y83" s="11"/>
      <c r="Z83" s="11"/>
      <c r="AA83" s="11"/>
    </row>
    <row r="84" spans="2:27">
      <c r="B84" s="92"/>
      <c r="C84" s="58"/>
      <c r="D84" s="58"/>
      <c r="E84" s="58"/>
      <c r="F84" s="120"/>
      <c r="G84" s="101"/>
      <c r="H84" s="15"/>
      <c r="I84" s="15"/>
      <c r="J84" s="15"/>
      <c r="K84" s="11"/>
      <c r="L84" s="11"/>
      <c r="M84" s="11"/>
      <c r="N84" s="11"/>
      <c r="O84" s="11"/>
      <c r="P84" s="11"/>
      <c r="Q84" s="11"/>
      <c r="R84" s="11"/>
      <c r="S84" s="11"/>
      <c r="T84" s="11"/>
      <c r="U84" s="11"/>
      <c r="V84" s="11"/>
      <c r="W84" s="11"/>
      <c r="X84" s="11"/>
      <c r="Y84" s="11"/>
      <c r="Z84" s="11"/>
      <c r="AA84" s="11"/>
    </row>
    <row r="85" spans="2:27">
      <c r="B85" s="406" t="s">
        <v>141</v>
      </c>
      <c r="C85" s="402"/>
      <c r="D85" s="402"/>
      <c r="E85" s="402"/>
      <c r="F85" s="402"/>
      <c r="G85" s="404"/>
      <c r="H85" s="15"/>
      <c r="I85" s="15"/>
      <c r="J85" s="15"/>
      <c r="K85" s="11"/>
      <c r="L85" s="11"/>
      <c r="M85" s="11"/>
      <c r="N85" s="11"/>
      <c r="O85" s="11"/>
      <c r="P85" s="11"/>
      <c r="Q85" s="11"/>
      <c r="R85" s="11"/>
      <c r="S85" s="11"/>
      <c r="T85" s="11"/>
      <c r="U85" s="11"/>
      <c r="V85" s="11"/>
      <c r="W85" s="11"/>
      <c r="X85" s="11"/>
      <c r="Y85" s="11"/>
      <c r="Z85" s="11"/>
      <c r="AA85" s="11"/>
    </row>
    <row r="86" spans="2:27">
      <c r="B86" s="100"/>
      <c r="C86" s="110" t="s">
        <v>216</v>
      </c>
      <c r="D86" s="410" t="s">
        <v>510</v>
      </c>
      <c r="E86" s="108"/>
      <c r="F86" s="413">
        <v>43.7</v>
      </c>
      <c r="G86" s="99" t="s">
        <v>5</v>
      </c>
      <c r="H86" s="15"/>
      <c r="I86" s="15"/>
      <c r="J86" s="15"/>
      <c r="K86" s="11"/>
      <c r="L86" s="11"/>
      <c r="M86" s="11"/>
      <c r="N86" s="11"/>
      <c r="O86" s="11"/>
      <c r="P86" s="11"/>
      <c r="Q86" s="11"/>
      <c r="R86" s="11"/>
      <c r="S86" s="11"/>
      <c r="T86" s="11"/>
      <c r="U86" s="11"/>
      <c r="V86" s="11"/>
      <c r="W86" s="11"/>
      <c r="X86" s="11"/>
      <c r="Y86" s="11"/>
      <c r="Z86" s="11"/>
      <c r="AA86" s="11"/>
    </row>
    <row r="87" spans="2:27">
      <c r="B87" s="100"/>
      <c r="C87" s="110" t="s">
        <v>32</v>
      </c>
      <c r="D87" s="410" t="s">
        <v>510</v>
      </c>
      <c r="E87" s="108"/>
      <c r="F87" s="413">
        <v>32.299999999999997</v>
      </c>
      <c r="G87" s="99" t="s">
        <v>5</v>
      </c>
      <c r="H87" s="15"/>
      <c r="I87" s="15"/>
      <c r="J87" s="15"/>
      <c r="K87" s="11"/>
      <c r="L87" s="11"/>
      <c r="M87" s="11"/>
      <c r="N87" s="11"/>
      <c r="O87" s="11"/>
      <c r="P87" s="11"/>
      <c r="Q87" s="11"/>
      <c r="R87" s="11"/>
      <c r="S87" s="11"/>
      <c r="T87" s="11"/>
      <c r="U87" s="11"/>
      <c r="V87" s="11"/>
      <c r="W87" s="11"/>
      <c r="X87" s="11"/>
      <c r="Y87" s="11"/>
      <c r="Z87" s="11"/>
      <c r="AA87" s="11"/>
    </row>
    <row r="88" spans="2:27">
      <c r="B88" s="100"/>
      <c r="C88" s="110" t="s">
        <v>193</v>
      </c>
      <c r="D88" s="410" t="s">
        <v>510</v>
      </c>
      <c r="E88" s="24"/>
      <c r="F88" s="413">
        <v>52.1</v>
      </c>
      <c r="G88" s="99" t="s">
        <v>5</v>
      </c>
      <c r="H88" s="15"/>
      <c r="I88" s="15"/>
      <c r="J88" s="15"/>
      <c r="K88" s="11"/>
      <c r="L88" s="11"/>
      <c r="M88" s="11"/>
      <c r="N88" s="11"/>
      <c r="O88" s="11"/>
      <c r="P88" s="11"/>
      <c r="Q88" s="11"/>
      <c r="R88" s="11"/>
      <c r="S88" s="11"/>
      <c r="T88" s="11"/>
      <c r="U88" s="11"/>
      <c r="V88" s="11"/>
      <c r="W88" s="11"/>
      <c r="X88" s="11"/>
      <c r="Y88" s="11"/>
      <c r="Z88" s="11"/>
      <c r="AA88" s="11"/>
    </row>
    <row r="89" spans="2:27">
      <c r="B89" s="100"/>
      <c r="C89" s="24"/>
      <c r="D89" s="24"/>
      <c r="E89" s="74"/>
      <c r="F89" s="358"/>
      <c r="G89" s="99"/>
      <c r="H89" s="15"/>
      <c r="I89" s="15"/>
      <c r="J89" s="15"/>
      <c r="K89" s="11"/>
      <c r="L89" s="11"/>
      <c r="M89" s="11"/>
      <c r="N89" s="11"/>
      <c r="O89" s="11"/>
      <c r="P89" s="11"/>
      <c r="Q89" s="11"/>
      <c r="R89" s="11"/>
      <c r="S89" s="11"/>
      <c r="T89" s="11"/>
      <c r="U89" s="11"/>
      <c r="V89" s="11"/>
      <c r="W89" s="11"/>
      <c r="X89" s="11"/>
      <c r="Y89" s="11"/>
      <c r="Z89" s="11"/>
      <c r="AA89" s="11"/>
    </row>
    <row r="90" spans="2:27">
      <c r="B90" s="490" t="s">
        <v>245</v>
      </c>
      <c r="C90" s="491"/>
      <c r="D90" s="491"/>
      <c r="E90" s="491"/>
      <c r="F90" s="491"/>
      <c r="G90" s="492"/>
      <c r="H90" s="15"/>
      <c r="I90" s="15"/>
      <c r="J90" s="15"/>
      <c r="K90" s="11"/>
      <c r="L90" s="11"/>
      <c r="M90" s="11"/>
      <c r="N90" s="11"/>
      <c r="O90" s="11"/>
      <c r="P90" s="11"/>
      <c r="Q90" s="11"/>
      <c r="R90" s="11"/>
      <c r="S90" s="11"/>
      <c r="T90" s="11"/>
      <c r="U90" s="11"/>
      <c r="V90" s="11"/>
      <c r="W90" s="11"/>
      <c r="X90" s="11"/>
      <c r="Y90" s="11"/>
      <c r="Z90" s="11"/>
      <c r="AA90" s="11"/>
    </row>
    <row r="91" spans="2:27">
      <c r="B91" s="92"/>
      <c r="C91" s="58"/>
      <c r="D91" s="58"/>
      <c r="E91" s="58"/>
      <c r="F91" s="132"/>
      <c r="G91" s="101"/>
      <c r="H91" s="15"/>
      <c r="I91" s="15"/>
      <c r="J91" s="15"/>
      <c r="K91" s="11"/>
      <c r="L91" s="11"/>
      <c r="M91" s="11"/>
      <c r="N91" s="11"/>
      <c r="O91" s="11"/>
      <c r="P91" s="11"/>
      <c r="Q91" s="11"/>
      <c r="R91" s="11"/>
      <c r="S91" s="11"/>
      <c r="T91" s="11"/>
      <c r="U91" s="11"/>
      <c r="V91" s="11"/>
      <c r="W91" s="11"/>
      <c r="X91" s="11"/>
      <c r="Y91" s="11"/>
      <c r="Z91" s="11"/>
      <c r="AA91" s="11"/>
    </row>
    <row r="92" spans="2:27">
      <c r="B92" s="398" t="s">
        <v>242</v>
      </c>
      <c r="C92" s="402"/>
      <c r="D92" s="402"/>
      <c r="E92" s="402"/>
      <c r="F92" s="403"/>
      <c r="G92" s="404"/>
      <c r="H92" s="15"/>
      <c r="I92" s="15"/>
      <c r="J92" s="15"/>
      <c r="K92" s="11"/>
      <c r="L92" s="11"/>
      <c r="M92" s="11"/>
      <c r="N92" s="11"/>
      <c r="O92" s="11"/>
      <c r="P92" s="11"/>
      <c r="Q92" s="11"/>
      <c r="R92" s="11"/>
      <c r="S92" s="11"/>
      <c r="T92" s="11"/>
      <c r="U92" s="11"/>
      <c r="V92" s="11"/>
      <c r="W92" s="11"/>
      <c r="X92" s="11"/>
      <c r="Y92" s="11"/>
      <c r="Z92" s="11"/>
      <c r="AA92" s="11"/>
    </row>
    <row r="93" spans="2:27">
      <c r="B93" s="100" t="s">
        <v>146</v>
      </c>
      <c r="C93" s="24"/>
      <c r="D93" s="40"/>
      <c r="E93" s="24"/>
      <c r="F93" s="122"/>
      <c r="G93" s="99"/>
      <c r="H93" s="15"/>
      <c r="I93" s="15"/>
      <c r="J93" s="15"/>
      <c r="K93" s="11"/>
      <c r="L93" s="11"/>
      <c r="M93" s="11"/>
      <c r="N93" s="11"/>
      <c r="O93" s="11"/>
      <c r="P93" s="11"/>
      <c r="Q93" s="11"/>
      <c r="R93" s="11"/>
      <c r="S93" s="11"/>
      <c r="T93" s="11"/>
      <c r="U93" s="11"/>
      <c r="V93" s="11"/>
      <c r="W93" s="11"/>
      <c r="X93" s="11"/>
      <c r="Y93" s="11"/>
      <c r="Z93" s="11"/>
      <c r="AA93" s="11"/>
    </row>
    <row r="94" spans="2:27">
      <c r="B94" s="100"/>
      <c r="C94" s="24"/>
      <c r="D94" s="40"/>
      <c r="E94" s="24"/>
      <c r="F94" s="122"/>
      <c r="G94" s="99"/>
      <c r="H94" s="15"/>
      <c r="I94" s="15"/>
      <c r="J94" s="15"/>
      <c r="K94" s="11"/>
      <c r="L94" s="11"/>
      <c r="M94" s="11"/>
      <c r="N94" s="11"/>
      <c r="O94" s="11"/>
      <c r="P94" s="11"/>
      <c r="Q94" s="11"/>
      <c r="R94" s="11"/>
      <c r="S94" s="11"/>
      <c r="T94" s="11"/>
      <c r="U94" s="11"/>
      <c r="V94" s="11"/>
      <c r="W94" s="11"/>
      <c r="X94" s="11"/>
      <c r="Y94" s="11"/>
      <c r="Z94" s="11"/>
      <c r="AA94" s="11"/>
    </row>
    <row r="95" spans="2:27">
      <c r="B95" s="100"/>
      <c r="C95" s="133" t="s">
        <v>147</v>
      </c>
      <c r="D95" s="40"/>
      <c r="E95" s="24"/>
      <c r="F95" s="113"/>
      <c r="G95" s="99"/>
      <c r="H95" s="15"/>
      <c r="I95" s="15"/>
      <c r="J95" s="15"/>
      <c r="K95" s="11"/>
      <c r="L95" s="11"/>
      <c r="M95" s="11"/>
      <c r="N95" s="11"/>
      <c r="O95" s="11"/>
      <c r="P95" s="11"/>
      <c r="Q95" s="11"/>
      <c r="R95" s="11"/>
      <c r="S95" s="11"/>
      <c r="T95" s="11"/>
      <c r="U95" s="11"/>
      <c r="V95" s="11"/>
      <c r="W95" s="11"/>
      <c r="X95" s="11"/>
      <c r="Y95" s="11"/>
      <c r="Z95" s="11"/>
      <c r="AA95" s="11"/>
    </row>
    <row r="96" spans="2:27">
      <c r="B96" s="100"/>
      <c r="C96" s="24" t="s">
        <v>148</v>
      </c>
      <c r="D96" s="410" t="s">
        <v>507</v>
      </c>
      <c r="E96" s="112"/>
      <c r="F96" s="418">
        <v>11.8</v>
      </c>
      <c r="G96" s="99" t="s">
        <v>5</v>
      </c>
      <c r="H96" s="15"/>
      <c r="I96" s="15"/>
      <c r="J96" s="15"/>
      <c r="K96" s="11"/>
      <c r="L96" s="11"/>
      <c r="M96" s="11"/>
      <c r="N96" s="11"/>
      <c r="O96" s="11"/>
      <c r="P96" s="11"/>
      <c r="Q96" s="11"/>
      <c r="R96" s="11"/>
      <c r="S96" s="11"/>
      <c r="T96" s="11"/>
      <c r="U96" s="11"/>
      <c r="V96" s="11"/>
      <c r="W96" s="11"/>
      <c r="X96" s="11"/>
      <c r="Y96" s="11"/>
      <c r="Z96" s="11"/>
      <c r="AA96" s="11"/>
    </row>
    <row r="97" spans="2:27">
      <c r="B97" s="100"/>
      <c r="C97" s="24" t="s">
        <v>149</v>
      </c>
      <c r="D97" s="410" t="s">
        <v>507</v>
      </c>
      <c r="E97" s="112"/>
      <c r="F97" s="419">
        <v>27.4</v>
      </c>
      <c r="G97" s="99" t="s">
        <v>5</v>
      </c>
      <c r="H97" s="15"/>
      <c r="I97" s="15"/>
      <c r="J97" s="15"/>
      <c r="K97" s="11"/>
      <c r="L97" s="11"/>
      <c r="M97" s="11"/>
      <c r="N97" s="11"/>
      <c r="O97" s="11"/>
      <c r="P97" s="11"/>
      <c r="Q97" s="11"/>
      <c r="R97" s="11"/>
      <c r="S97" s="11"/>
      <c r="T97" s="11"/>
      <c r="U97" s="11"/>
      <c r="V97" s="11"/>
      <c r="W97" s="11"/>
      <c r="X97" s="11"/>
      <c r="Y97" s="11"/>
      <c r="Z97" s="11"/>
      <c r="AA97" s="11"/>
    </row>
    <row r="98" spans="2:27">
      <c r="B98" s="100"/>
      <c r="C98" s="24" t="s">
        <v>150</v>
      </c>
      <c r="D98" s="410" t="s">
        <v>507</v>
      </c>
      <c r="E98" s="112"/>
      <c r="F98" s="419">
        <v>38</v>
      </c>
      <c r="G98" s="99" t="s">
        <v>5</v>
      </c>
      <c r="H98" s="15"/>
      <c r="I98" s="15"/>
      <c r="J98" s="15"/>
      <c r="K98" s="11"/>
      <c r="L98" s="11"/>
      <c r="M98" s="11"/>
      <c r="N98" s="11"/>
      <c r="O98" s="11"/>
      <c r="P98" s="11"/>
      <c r="Q98" s="11"/>
      <c r="R98" s="11"/>
      <c r="S98" s="11"/>
      <c r="T98" s="11"/>
      <c r="U98" s="11"/>
      <c r="V98" s="11"/>
      <c r="W98" s="11"/>
      <c r="X98" s="11"/>
      <c r="Y98" s="11"/>
      <c r="Z98" s="11"/>
      <c r="AA98" s="11"/>
    </row>
    <row r="99" spans="2:27">
      <c r="B99" s="100"/>
      <c r="C99" s="24" t="s">
        <v>151</v>
      </c>
      <c r="D99" s="410" t="s">
        <v>507</v>
      </c>
      <c r="E99" s="112"/>
      <c r="F99" s="420">
        <v>22.8</v>
      </c>
      <c r="G99" s="99" t="s">
        <v>5</v>
      </c>
      <c r="H99" s="15"/>
      <c r="I99" s="15"/>
      <c r="J99" s="15"/>
      <c r="K99" s="11"/>
      <c r="L99" s="11"/>
      <c r="M99" s="11"/>
      <c r="N99" s="11"/>
      <c r="O99" s="11"/>
      <c r="P99" s="11"/>
      <c r="Q99" s="11"/>
      <c r="R99" s="11"/>
      <c r="S99" s="11"/>
      <c r="T99" s="11"/>
      <c r="U99" s="11"/>
      <c r="V99" s="11"/>
      <c r="W99" s="11"/>
      <c r="X99" s="11"/>
      <c r="Y99" s="11"/>
      <c r="Z99" s="11"/>
      <c r="AA99" s="11"/>
    </row>
    <row r="100" spans="2:27">
      <c r="B100" s="100"/>
      <c r="C100" s="24"/>
      <c r="D100" s="40"/>
      <c r="E100" s="24"/>
      <c r="F100" s="359">
        <f>SUM(F96:F99)</f>
        <v>100</v>
      </c>
      <c r="G100" s="99"/>
      <c r="H100" s="15"/>
      <c r="I100" s="15"/>
      <c r="J100" s="15"/>
      <c r="K100" s="11"/>
      <c r="L100" s="11"/>
      <c r="M100" s="11"/>
      <c r="N100" s="11"/>
      <c r="O100" s="11"/>
      <c r="P100" s="11"/>
      <c r="Q100" s="11"/>
      <c r="R100" s="11"/>
      <c r="S100" s="11"/>
      <c r="T100" s="11"/>
      <c r="U100" s="11"/>
      <c r="V100" s="11"/>
      <c r="W100" s="11"/>
      <c r="X100" s="11"/>
      <c r="Y100" s="11"/>
      <c r="Z100" s="11"/>
      <c r="AA100" s="11"/>
    </row>
    <row r="101" spans="2:27">
      <c r="B101" s="100"/>
      <c r="C101" s="123"/>
      <c r="D101" s="40"/>
      <c r="E101" s="24"/>
      <c r="F101" s="122"/>
      <c r="G101" s="99"/>
      <c r="H101" s="15"/>
      <c r="I101" s="15"/>
      <c r="J101" s="15"/>
      <c r="K101" s="11"/>
      <c r="L101" s="11"/>
      <c r="M101" s="11"/>
      <c r="N101" s="11"/>
      <c r="O101" s="11"/>
      <c r="P101" s="11"/>
      <c r="Q101" s="11"/>
      <c r="R101" s="11"/>
      <c r="S101" s="11"/>
      <c r="T101" s="11"/>
      <c r="U101" s="11"/>
      <c r="V101" s="11"/>
      <c r="W101" s="11"/>
      <c r="X101" s="11"/>
      <c r="Y101" s="11"/>
      <c r="Z101" s="11"/>
      <c r="AA101" s="11"/>
    </row>
    <row r="102" spans="2:27">
      <c r="B102" s="100" t="s">
        <v>241</v>
      </c>
      <c r="C102" s="24"/>
      <c r="D102" s="40"/>
      <c r="E102" s="24"/>
      <c r="F102" s="122"/>
      <c r="G102" s="99"/>
      <c r="H102" s="15"/>
      <c r="I102" s="15"/>
      <c r="J102" s="15"/>
      <c r="K102" s="11"/>
      <c r="L102" s="11"/>
      <c r="M102" s="11"/>
      <c r="N102" s="11"/>
      <c r="O102" s="11"/>
      <c r="P102" s="11"/>
      <c r="Q102" s="11"/>
      <c r="R102" s="11"/>
      <c r="S102" s="11"/>
      <c r="T102" s="11"/>
      <c r="U102" s="11"/>
      <c r="V102" s="11"/>
      <c r="W102" s="11"/>
      <c r="X102" s="11"/>
      <c r="Y102" s="11"/>
      <c r="Z102" s="11"/>
      <c r="AA102" s="11"/>
    </row>
    <row r="103" spans="2:27">
      <c r="B103" s="92"/>
      <c r="C103" s="58"/>
      <c r="D103" s="58"/>
      <c r="E103" s="58"/>
      <c r="F103" s="120"/>
      <c r="G103" s="101"/>
      <c r="H103" s="15"/>
      <c r="I103" s="15"/>
      <c r="J103" s="15"/>
      <c r="K103" s="11"/>
      <c r="L103" s="11"/>
      <c r="M103" s="11"/>
      <c r="N103" s="11"/>
      <c r="O103" s="11"/>
      <c r="P103" s="11"/>
      <c r="Q103" s="11"/>
      <c r="R103" s="11"/>
      <c r="S103" s="11"/>
      <c r="T103" s="11"/>
      <c r="U103" s="11"/>
      <c r="V103" s="11"/>
      <c r="W103" s="11"/>
      <c r="X103" s="11"/>
      <c r="Y103" s="11"/>
      <c r="Z103" s="11"/>
      <c r="AA103" s="11"/>
    </row>
    <row r="104" spans="2:27">
      <c r="B104" s="398" t="s">
        <v>97</v>
      </c>
      <c r="C104" s="402"/>
      <c r="D104" s="402"/>
      <c r="E104" s="402"/>
      <c r="F104" s="403"/>
      <c r="G104" s="404"/>
      <c r="H104" s="15"/>
      <c r="I104" s="15"/>
      <c r="J104" s="15"/>
      <c r="K104" s="11"/>
      <c r="L104" s="11"/>
      <c r="M104" s="11"/>
      <c r="N104" s="11"/>
      <c r="O104" s="11"/>
      <c r="P104" s="11"/>
      <c r="Q104" s="11"/>
      <c r="R104" s="11"/>
      <c r="S104" s="11"/>
      <c r="T104" s="11"/>
      <c r="U104" s="11"/>
      <c r="V104" s="11"/>
      <c r="W104" s="11"/>
      <c r="X104" s="11"/>
      <c r="Y104" s="11"/>
      <c r="Z104" s="11"/>
      <c r="AA104" s="11"/>
    </row>
    <row r="105" spans="2:27">
      <c r="B105" s="100"/>
      <c r="C105" s="110" t="s">
        <v>98</v>
      </c>
      <c r="D105" s="410" t="s">
        <v>510</v>
      </c>
      <c r="E105" s="74"/>
      <c r="F105" s="421">
        <v>49.3</v>
      </c>
      <c r="G105" s="99" t="s">
        <v>5</v>
      </c>
      <c r="H105" s="15"/>
      <c r="I105" s="15"/>
      <c r="J105" s="15"/>
      <c r="K105" s="11"/>
      <c r="L105" s="11"/>
      <c r="M105" s="11"/>
      <c r="N105" s="11"/>
      <c r="O105" s="11"/>
      <c r="P105" s="11"/>
      <c r="Q105" s="11"/>
      <c r="R105" s="11"/>
      <c r="S105" s="11"/>
      <c r="T105" s="11"/>
      <c r="U105" s="11"/>
      <c r="V105" s="11"/>
      <c r="W105" s="11"/>
      <c r="X105" s="11"/>
      <c r="Y105" s="11"/>
      <c r="Z105" s="11"/>
      <c r="AA105" s="11"/>
    </row>
    <row r="106" spans="2:27">
      <c r="B106" s="100"/>
      <c r="C106" s="110" t="s">
        <v>32</v>
      </c>
      <c r="D106" s="410" t="s">
        <v>510</v>
      </c>
      <c r="E106" s="74"/>
      <c r="F106" s="422">
        <v>30.2</v>
      </c>
      <c r="G106" s="99" t="s">
        <v>5</v>
      </c>
      <c r="H106" s="15"/>
      <c r="I106" s="15"/>
      <c r="J106" s="15"/>
      <c r="K106" s="11"/>
      <c r="L106" s="11"/>
      <c r="M106" s="11"/>
      <c r="N106" s="11"/>
      <c r="O106" s="11"/>
      <c r="P106" s="11"/>
      <c r="Q106" s="11"/>
      <c r="R106" s="11"/>
      <c r="S106" s="11"/>
      <c r="T106" s="11"/>
      <c r="U106" s="11"/>
      <c r="V106" s="11"/>
      <c r="W106" s="11"/>
      <c r="X106" s="11"/>
      <c r="Y106" s="11"/>
      <c r="Z106" s="11"/>
      <c r="AA106" s="11"/>
    </row>
    <row r="107" spans="2:27">
      <c r="B107" s="100"/>
      <c r="C107" s="110" t="s">
        <v>152</v>
      </c>
      <c r="D107" s="410" t="s">
        <v>510</v>
      </c>
      <c r="E107" s="24"/>
      <c r="F107" s="422">
        <v>37.6</v>
      </c>
      <c r="G107" s="99" t="s">
        <v>5</v>
      </c>
      <c r="H107" s="15"/>
      <c r="I107" s="15"/>
      <c r="J107" s="15"/>
      <c r="K107" s="11"/>
      <c r="L107" s="11"/>
      <c r="M107" s="11"/>
      <c r="N107" s="11"/>
      <c r="O107" s="11"/>
      <c r="P107" s="11"/>
      <c r="Q107" s="11"/>
      <c r="R107" s="11"/>
      <c r="S107" s="11"/>
      <c r="T107" s="11"/>
      <c r="U107" s="11"/>
      <c r="V107" s="11"/>
      <c r="W107" s="11"/>
      <c r="X107" s="11"/>
      <c r="Y107" s="11"/>
      <c r="Z107" s="11"/>
      <c r="AA107" s="11"/>
    </row>
    <row r="108" spans="2:27">
      <c r="B108" s="100"/>
      <c r="C108" s="134" t="s">
        <v>259</v>
      </c>
      <c r="D108" s="111" t="s">
        <v>192</v>
      </c>
      <c r="E108" s="74"/>
      <c r="F108" s="423">
        <v>83.88</v>
      </c>
      <c r="G108" s="99" t="s">
        <v>14</v>
      </c>
      <c r="H108" s="15"/>
      <c r="I108" s="15"/>
      <c r="J108" s="15"/>
      <c r="K108" s="11"/>
      <c r="L108" s="11"/>
      <c r="M108" s="11"/>
      <c r="N108" s="11"/>
      <c r="O108" s="11"/>
      <c r="P108" s="11"/>
      <c r="Q108" s="11"/>
      <c r="R108" s="11"/>
      <c r="S108" s="11"/>
      <c r="T108" s="11"/>
      <c r="U108" s="11"/>
      <c r="V108" s="11"/>
      <c r="W108" s="11"/>
      <c r="X108" s="11"/>
      <c r="Y108" s="11"/>
      <c r="Z108" s="11"/>
      <c r="AA108" s="11"/>
    </row>
    <row r="109" spans="2:27">
      <c r="B109" s="100"/>
      <c r="C109" s="74"/>
      <c r="D109" s="24"/>
      <c r="E109" s="24"/>
      <c r="F109" s="135"/>
      <c r="G109" s="99"/>
      <c r="H109" s="15"/>
      <c r="I109" s="15"/>
      <c r="J109" s="15"/>
      <c r="K109" s="11"/>
      <c r="L109" s="11"/>
      <c r="M109" s="11"/>
      <c r="N109" s="11"/>
      <c r="O109" s="11"/>
      <c r="P109" s="11"/>
      <c r="Q109" s="11"/>
      <c r="R109" s="11"/>
      <c r="S109" s="11"/>
      <c r="T109" s="11"/>
      <c r="U109" s="11"/>
      <c r="V109" s="11"/>
      <c r="W109" s="11"/>
      <c r="X109" s="11"/>
      <c r="Y109" s="11"/>
      <c r="Z109" s="11"/>
      <c r="AA109" s="11"/>
    </row>
    <row r="110" spans="2:27" ht="28.5" customHeight="1">
      <c r="B110" s="493" t="s">
        <v>246</v>
      </c>
      <c r="C110" s="494"/>
      <c r="D110" s="494"/>
      <c r="E110" s="494"/>
      <c r="F110" s="494"/>
      <c r="G110" s="495"/>
      <c r="H110" s="15"/>
      <c r="I110" s="15"/>
      <c r="J110" s="15"/>
      <c r="K110" s="11"/>
      <c r="L110" s="11"/>
      <c r="M110" s="11"/>
      <c r="N110" s="11"/>
      <c r="O110" s="11"/>
      <c r="P110" s="11"/>
      <c r="Q110" s="11"/>
      <c r="R110" s="11"/>
      <c r="S110" s="11"/>
      <c r="T110" s="11"/>
      <c r="U110" s="11"/>
      <c r="V110" s="11"/>
      <c r="W110" s="11"/>
      <c r="X110" s="11"/>
      <c r="Y110" s="11"/>
      <c r="Z110" s="11"/>
      <c r="AA110" s="11"/>
    </row>
    <row r="111" spans="2:27">
      <c r="B111" s="92"/>
      <c r="C111" s="58"/>
      <c r="D111" s="58"/>
      <c r="E111" s="58"/>
      <c r="F111" s="120"/>
      <c r="G111" s="101"/>
      <c r="H111" s="15"/>
      <c r="I111" s="15"/>
      <c r="J111" s="15"/>
      <c r="K111" s="11"/>
      <c r="L111" s="11"/>
      <c r="M111" s="11"/>
      <c r="N111" s="11"/>
      <c r="O111" s="11"/>
      <c r="P111" s="11"/>
      <c r="Q111" s="11"/>
      <c r="R111" s="11"/>
      <c r="S111" s="11"/>
      <c r="T111" s="11"/>
      <c r="U111" s="11"/>
      <c r="V111" s="11"/>
      <c r="W111" s="11"/>
      <c r="X111" s="11"/>
      <c r="Y111" s="11"/>
      <c r="Z111" s="11"/>
      <c r="AA111" s="11"/>
    </row>
    <row r="112" spans="2:27">
      <c r="B112" s="398" t="s">
        <v>12</v>
      </c>
      <c r="C112" s="402"/>
      <c r="D112" s="402"/>
      <c r="E112" s="402"/>
      <c r="F112" s="403"/>
      <c r="G112" s="404"/>
      <c r="H112" s="19"/>
      <c r="I112" s="19"/>
      <c r="J112" s="19"/>
      <c r="K112" s="11"/>
      <c r="L112" s="11"/>
      <c r="M112" s="11"/>
      <c r="N112" s="11"/>
      <c r="O112" s="11"/>
      <c r="P112" s="11"/>
      <c r="Q112" s="11"/>
      <c r="R112" s="11"/>
      <c r="S112" s="11"/>
      <c r="T112" s="11"/>
      <c r="U112" s="11"/>
      <c r="V112" s="11"/>
      <c r="W112" s="11"/>
      <c r="X112" s="11"/>
      <c r="Y112" s="11"/>
      <c r="Z112" s="11"/>
      <c r="AA112" s="11"/>
    </row>
    <row r="113" spans="2:27">
      <c r="B113" s="136"/>
      <c r="C113" s="137"/>
      <c r="D113" s="138" t="s">
        <v>132</v>
      </c>
      <c r="E113" s="138" t="s">
        <v>28</v>
      </c>
      <c r="F113" s="139" t="s">
        <v>27</v>
      </c>
      <c r="G113" s="140" t="s">
        <v>247</v>
      </c>
      <c r="H113" s="20"/>
      <c r="I113" s="20"/>
      <c r="J113" s="20"/>
      <c r="K113" s="42"/>
      <c r="L113" s="42"/>
      <c r="M113" s="43"/>
      <c r="N113" s="43"/>
      <c r="O113" s="43"/>
      <c r="P113" s="43"/>
      <c r="Q113" s="43"/>
      <c r="R113" s="43"/>
      <c r="S113" s="43"/>
      <c r="T113" s="43"/>
      <c r="U113" s="43"/>
      <c r="V113" s="43"/>
      <c r="W113" s="43"/>
      <c r="X113" s="43"/>
      <c r="Y113" s="43"/>
      <c r="Z113" s="43"/>
      <c r="AA113" s="43"/>
    </row>
    <row r="114" spans="2:27">
      <c r="B114" s="100"/>
      <c r="C114" s="24" t="s">
        <v>194</v>
      </c>
      <c r="D114" s="141" t="s">
        <v>133</v>
      </c>
      <c r="E114" s="424">
        <v>21.76</v>
      </c>
      <c r="F114" s="425">
        <v>145.60900000000001</v>
      </c>
      <c r="G114" s="425">
        <v>4.9770000000000003</v>
      </c>
      <c r="H114" s="19"/>
      <c r="I114" s="19"/>
      <c r="J114" s="19"/>
      <c r="K114" s="11"/>
      <c r="L114" s="11"/>
      <c r="M114" s="11"/>
      <c r="N114" s="11"/>
      <c r="O114" s="11"/>
      <c r="P114" s="11"/>
      <c r="Q114" s="11"/>
      <c r="R114" s="11"/>
      <c r="S114" s="11"/>
      <c r="T114" s="11"/>
      <c r="U114" s="11"/>
      <c r="V114" s="11"/>
      <c r="W114" s="11"/>
      <c r="X114" s="11"/>
      <c r="Y114" s="11"/>
      <c r="Z114" s="11"/>
      <c r="AA114" s="11"/>
    </row>
    <row r="115" spans="2:27">
      <c r="B115" s="100"/>
      <c r="C115" s="24" t="s">
        <v>511</v>
      </c>
      <c r="D115" s="141" t="s">
        <v>134</v>
      </c>
      <c r="E115" s="424">
        <v>50</v>
      </c>
      <c r="F115" s="426">
        <v>190.84399999999999</v>
      </c>
      <c r="G115" s="426">
        <v>-34.131</v>
      </c>
      <c r="H115" s="19"/>
      <c r="I115" s="19"/>
      <c r="J115" s="19"/>
      <c r="K115" s="11"/>
      <c r="L115" s="11"/>
      <c r="M115" s="11"/>
      <c r="N115" s="11"/>
      <c r="O115" s="11"/>
      <c r="P115" s="11"/>
      <c r="Q115" s="11"/>
      <c r="R115" s="11"/>
      <c r="S115" s="11"/>
      <c r="T115" s="11"/>
      <c r="U115" s="11"/>
      <c r="V115" s="11"/>
      <c r="W115" s="11"/>
      <c r="X115" s="11"/>
      <c r="Y115" s="11"/>
      <c r="Z115" s="11"/>
      <c r="AA115" s="11"/>
    </row>
    <row r="116" spans="2:27">
      <c r="B116" s="100"/>
      <c r="C116" s="24" t="s">
        <v>512</v>
      </c>
      <c r="D116" s="141" t="s">
        <v>134</v>
      </c>
      <c r="E116" s="424">
        <v>40</v>
      </c>
      <c r="F116" s="426">
        <v>55.627000000000002</v>
      </c>
      <c r="G116" s="426">
        <v>22.39</v>
      </c>
      <c r="H116" s="19"/>
      <c r="I116" s="19"/>
      <c r="J116" s="19"/>
      <c r="K116" s="11"/>
      <c r="L116" s="11"/>
      <c r="M116" s="11"/>
      <c r="N116" s="11"/>
      <c r="O116" s="11"/>
      <c r="P116" s="11"/>
      <c r="Q116" s="11"/>
      <c r="R116" s="11"/>
      <c r="S116" s="11"/>
      <c r="T116" s="11"/>
      <c r="U116" s="11"/>
      <c r="V116" s="11"/>
      <c r="W116" s="11"/>
      <c r="X116" s="11"/>
      <c r="Y116" s="11"/>
      <c r="Z116" s="11"/>
      <c r="AA116" s="11"/>
    </row>
    <row r="117" spans="2:27">
      <c r="B117" s="100"/>
      <c r="C117" s="24" t="s">
        <v>474</v>
      </c>
      <c r="D117" s="141" t="s">
        <v>134</v>
      </c>
      <c r="E117" s="424">
        <v>50</v>
      </c>
      <c r="F117" s="426">
        <v>33.011000000000003</v>
      </c>
      <c r="G117" s="426">
        <v>8.9179999999999993</v>
      </c>
      <c r="H117" s="19"/>
      <c r="I117" s="19"/>
      <c r="J117" s="19"/>
      <c r="K117" s="11"/>
      <c r="L117" s="11"/>
      <c r="M117" s="11"/>
      <c r="N117" s="11"/>
      <c r="O117" s="11"/>
      <c r="P117" s="11"/>
      <c r="Q117" s="11"/>
      <c r="R117" s="11"/>
      <c r="S117" s="11"/>
      <c r="T117" s="11"/>
      <c r="U117" s="11"/>
      <c r="V117" s="11"/>
      <c r="W117" s="11"/>
      <c r="X117" s="11"/>
      <c r="Y117" s="11"/>
      <c r="Z117" s="11"/>
      <c r="AA117" s="11"/>
    </row>
    <row r="118" spans="2:27">
      <c r="B118" s="100"/>
      <c r="C118" s="24" t="s">
        <v>513</v>
      </c>
      <c r="D118" s="141" t="s">
        <v>134</v>
      </c>
      <c r="E118" s="424">
        <v>20</v>
      </c>
      <c r="F118" s="426">
        <v>0</v>
      </c>
      <c r="G118" s="426">
        <v>0.1</v>
      </c>
      <c r="H118" s="19"/>
      <c r="I118" s="19"/>
      <c r="J118" s="19"/>
      <c r="K118" s="11"/>
      <c r="L118" s="11"/>
      <c r="M118" s="11"/>
      <c r="N118" s="11"/>
      <c r="O118" s="11"/>
      <c r="P118" s="11"/>
      <c r="Q118" s="11"/>
      <c r="R118" s="11"/>
      <c r="S118" s="11"/>
      <c r="T118" s="11"/>
      <c r="U118" s="11"/>
      <c r="V118" s="11"/>
      <c r="W118" s="11"/>
      <c r="X118" s="11"/>
      <c r="Y118" s="11"/>
      <c r="Z118" s="11"/>
      <c r="AA118" s="11"/>
    </row>
    <row r="119" spans="2:27">
      <c r="B119" s="100"/>
      <c r="C119" s="74" t="s">
        <v>43</v>
      </c>
      <c r="D119" s="111" t="s">
        <v>507</v>
      </c>
      <c r="E119" s="360"/>
      <c r="F119" s="361">
        <f>SUM(F114:F118)</f>
        <v>425.09100000000001</v>
      </c>
      <c r="G119" s="362">
        <f>SUM(G114:G118)</f>
        <v>2.254</v>
      </c>
      <c r="H119" s="19"/>
      <c r="I119" s="19"/>
      <c r="J119" s="19"/>
      <c r="K119" s="11"/>
      <c r="L119" s="11"/>
      <c r="M119" s="11"/>
      <c r="N119" s="11"/>
      <c r="O119" s="11"/>
      <c r="P119" s="11"/>
      <c r="Q119" s="11"/>
      <c r="R119" s="11"/>
      <c r="S119" s="11"/>
      <c r="T119" s="11"/>
      <c r="U119" s="11"/>
      <c r="V119" s="11"/>
      <c r="W119" s="11"/>
      <c r="X119" s="11"/>
      <c r="Y119" s="11"/>
      <c r="Z119" s="11"/>
      <c r="AA119" s="11"/>
    </row>
    <row r="120" spans="2:27">
      <c r="B120" s="100"/>
      <c r="C120" s="24"/>
      <c r="D120" s="24"/>
      <c r="E120" s="142"/>
      <c r="F120" s="52"/>
      <c r="G120" s="143"/>
      <c r="H120" s="19"/>
      <c r="I120" s="19"/>
      <c r="J120" s="19"/>
      <c r="K120" s="11"/>
      <c r="L120" s="11"/>
      <c r="M120" s="11"/>
      <c r="N120" s="11"/>
      <c r="O120" s="11"/>
      <c r="P120" s="11"/>
      <c r="Q120" s="11"/>
      <c r="R120" s="11"/>
      <c r="S120" s="11"/>
      <c r="T120" s="11"/>
      <c r="U120" s="11"/>
      <c r="V120" s="11"/>
      <c r="W120" s="11"/>
      <c r="X120" s="11"/>
      <c r="Y120" s="11"/>
      <c r="Z120" s="11"/>
      <c r="AA120" s="11"/>
    </row>
    <row r="121" spans="2:27">
      <c r="B121" s="100"/>
      <c r="C121" s="74" t="s">
        <v>131</v>
      </c>
      <c r="D121" s="40"/>
      <c r="E121" s="363">
        <f>SUMPRODUCT(E114:E117,F114:F117)/F119</f>
        <v>39.018191022628095</v>
      </c>
      <c r="F121" s="364">
        <f>+F119*E121%</f>
        <v>165.86281840000001</v>
      </c>
      <c r="G121" s="143"/>
      <c r="H121" s="19"/>
      <c r="I121" s="19"/>
      <c r="J121" s="19"/>
      <c r="K121" s="11"/>
      <c r="L121" s="11"/>
      <c r="M121" s="11"/>
      <c r="N121" s="11"/>
      <c r="O121" s="11"/>
      <c r="P121" s="11"/>
      <c r="Q121" s="11"/>
      <c r="R121" s="11"/>
      <c r="S121" s="11"/>
      <c r="T121" s="11"/>
      <c r="U121" s="11"/>
      <c r="V121" s="11"/>
      <c r="W121" s="11"/>
      <c r="X121" s="11"/>
      <c r="Y121" s="11"/>
      <c r="Z121" s="11"/>
      <c r="AA121" s="11"/>
    </row>
    <row r="122" spans="2:27">
      <c r="B122" s="100"/>
      <c r="C122" s="74"/>
      <c r="D122" s="40"/>
      <c r="E122" s="144"/>
      <c r="F122" s="22"/>
      <c r="G122" s="117"/>
      <c r="H122" s="15"/>
      <c r="I122" s="15"/>
      <c r="J122" s="15"/>
      <c r="K122" s="11"/>
      <c r="L122" s="11"/>
      <c r="M122" s="11"/>
      <c r="N122" s="11"/>
      <c r="O122" s="11"/>
      <c r="P122" s="11"/>
      <c r="Q122" s="11"/>
      <c r="R122" s="11"/>
      <c r="S122" s="11"/>
      <c r="T122" s="11"/>
      <c r="U122" s="11"/>
      <c r="V122" s="11"/>
      <c r="W122" s="11"/>
      <c r="X122" s="11"/>
      <c r="Y122" s="11"/>
      <c r="Z122" s="11"/>
      <c r="AA122" s="11"/>
    </row>
    <row r="123" spans="2:27" ht="28.5" customHeight="1">
      <c r="B123" s="493" t="s">
        <v>516</v>
      </c>
      <c r="C123" s="494"/>
      <c r="D123" s="494"/>
      <c r="E123" s="494"/>
      <c r="F123" s="494"/>
      <c r="G123" s="495"/>
      <c r="H123" s="15"/>
      <c r="I123" s="15"/>
      <c r="J123" s="15"/>
      <c r="K123" s="11"/>
      <c r="L123" s="11"/>
      <c r="M123" s="11"/>
      <c r="N123" s="11"/>
      <c r="O123" s="11"/>
      <c r="P123" s="11"/>
      <c r="Q123" s="11"/>
      <c r="R123" s="11"/>
      <c r="S123" s="11"/>
      <c r="T123" s="11"/>
      <c r="U123" s="11"/>
      <c r="V123" s="11"/>
      <c r="W123" s="11"/>
      <c r="X123" s="11"/>
      <c r="Y123" s="11"/>
      <c r="Z123" s="11"/>
      <c r="AA123" s="11"/>
    </row>
    <row r="124" spans="2:27" ht="31" customHeight="1">
      <c r="B124" s="493" t="s">
        <v>514</v>
      </c>
      <c r="C124" s="494"/>
      <c r="D124" s="494"/>
      <c r="E124" s="494"/>
      <c r="F124" s="494"/>
      <c r="G124" s="495"/>
      <c r="H124" s="15"/>
      <c r="I124" s="15"/>
      <c r="J124" s="15"/>
      <c r="K124" s="11"/>
      <c r="L124" s="11"/>
      <c r="M124" s="11"/>
      <c r="N124" s="11"/>
      <c r="O124" s="11"/>
      <c r="P124" s="11"/>
      <c r="Q124" s="11"/>
      <c r="R124" s="11"/>
      <c r="S124" s="11"/>
      <c r="T124" s="11"/>
      <c r="U124" s="11"/>
      <c r="V124" s="11"/>
      <c r="W124" s="11"/>
      <c r="X124" s="11"/>
      <c r="Y124" s="11"/>
      <c r="Z124" s="11"/>
      <c r="AA124" s="11"/>
    </row>
    <row r="125" spans="2:27" ht="14" customHeight="1">
      <c r="B125" s="493" t="s">
        <v>515</v>
      </c>
      <c r="C125" s="494"/>
      <c r="D125" s="494"/>
      <c r="E125" s="494"/>
      <c r="F125" s="494"/>
      <c r="G125" s="495"/>
      <c r="H125" s="15"/>
      <c r="I125" s="15"/>
      <c r="J125" s="15"/>
      <c r="K125" s="11"/>
      <c r="L125" s="11"/>
      <c r="M125" s="11"/>
      <c r="N125" s="11"/>
      <c r="O125" s="11"/>
      <c r="P125" s="11"/>
      <c r="Q125" s="11"/>
      <c r="R125" s="11"/>
      <c r="S125" s="11"/>
      <c r="T125" s="11"/>
      <c r="U125" s="11"/>
      <c r="V125" s="11"/>
      <c r="W125" s="11"/>
      <c r="X125" s="11"/>
      <c r="Y125" s="11"/>
      <c r="Z125" s="11"/>
      <c r="AA125" s="11"/>
    </row>
    <row r="126" spans="2:27">
      <c r="B126" s="92"/>
      <c r="C126" s="58"/>
      <c r="D126" s="58"/>
      <c r="E126" s="58"/>
      <c r="F126" s="132"/>
      <c r="G126" s="101"/>
      <c r="H126" s="15"/>
      <c r="I126" s="15"/>
      <c r="J126" s="15"/>
      <c r="K126" s="11"/>
      <c r="L126" s="11"/>
      <c r="M126" s="11"/>
      <c r="N126" s="11"/>
      <c r="O126" s="11"/>
      <c r="P126" s="11"/>
      <c r="Q126" s="11"/>
      <c r="R126" s="11"/>
      <c r="S126" s="11"/>
      <c r="T126" s="11"/>
      <c r="U126" s="11"/>
      <c r="V126" s="11"/>
      <c r="W126" s="11"/>
      <c r="X126" s="11"/>
      <c r="Y126" s="11"/>
      <c r="Z126" s="11"/>
      <c r="AA126" s="11"/>
    </row>
    <row r="127" spans="2:27">
      <c r="B127" s="398" t="s">
        <v>195</v>
      </c>
      <c r="C127" s="402"/>
      <c r="D127" s="402"/>
      <c r="E127" s="402"/>
      <c r="F127" s="403"/>
      <c r="G127" s="404"/>
      <c r="H127" s="15"/>
      <c r="I127" s="15"/>
      <c r="J127" s="15"/>
      <c r="K127" s="11"/>
      <c r="L127" s="11"/>
      <c r="M127" s="11"/>
      <c r="N127" s="11"/>
      <c r="O127" s="11"/>
      <c r="P127" s="11"/>
      <c r="Q127" s="11"/>
      <c r="R127" s="11"/>
      <c r="S127" s="11"/>
      <c r="T127" s="11"/>
      <c r="U127" s="11"/>
      <c r="V127" s="11"/>
      <c r="W127" s="11"/>
      <c r="X127" s="11"/>
      <c r="Y127" s="11"/>
      <c r="Z127" s="11"/>
      <c r="AA127" s="11"/>
    </row>
    <row r="128" spans="2:27">
      <c r="B128" s="100"/>
      <c r="C128" s="24" t="s">
        <v>518</v>
      </c>
      <c r="D128" s="410" t="s">
        <v>517</v>
      </c>
      <c r="E128" s="24"/>
      <c r="F128" s="427">
        <v>2845.2710699999998</v>
      </c>
      <c r="G128" s="99" t="s">
        <v>223</v>
      </c>
      <c r="H128" s="15"/>
      <c r="I128" s="15"/>
      <c r="J128" s="15"/>
      <c r="K128" s="11"/>
      <c r="L128" s="11"/>
      <c r="M128" s="11"/>
      <c r="N128" s="11"/>
      <c r="O128" s="11"/>
      <c r="P128" s="11"/>
      <c r="Q128" s="11"/>
      <c r="R128" s="11"/>
      <c r="S128" s="11"/>
      <c r="T128" s="11"/>
      <c r="U128" s="11"/>
      <c r="V128" s="11"/>
      <c r="W128" s="11"/>
      <c r="X128" s="11"/>
      <c r="Y128" s="11"/>
      <c r="Z128" s="11"/>
      <c r="AA128" s="11"/>
    </row>
    <row r="129" spans="2:27">
      <c r="B129" s="100"/>
      <c r="C129" s="145"/>
      <c r="D129" s="111"/>
      <c r="E129" s="24"/>
      <c r="F129" s="44"/>
      <c r="G129" s="99"/>
      <c r="H129" s="15"/>
      <c r="I129" s="15"/>
      <c r="J129" s="15"/>
      <c r="K129" s="11"/>
      <c r="L129" s="11"/>
      <c r="M129" s="11"/>
      <c r="N129" s="11"/>
      <c r="O129" s="11"/>
      <c r="P129" s="11"/>
      <c r="Q129" s="11"/>
      <c r="R129" s="11"/>
      <c r="S129" s="11"/>
      <c r="T129" s="11"/>
      <c r="U129" s="11"/>
      <c r="V129" s="11"/>
      <c r="W129" s="11"/>
      <c r="X129" s="11"/>
      <c r="Y129" s="11"/>
      <c r="Z129" s="11"/>
      <c r="AA129" s="11"/>
    </row>
    <row r="130" spans="2:27">
      <c r="B130" s="100"/>
      <c r="C130" s="145"/>
      <c r="D130" s="40"/>
      <c r="E130" s="24"/>
      <c r="F130" s="45"/>
      <c r="G130" s="99"/>
      <c r="H130" s="15"/>
      <c r="I130" s="15"/>
      <c r="J130" s="15"/>
      <c r="K130" s="11"/>
      <c r="L130" s="11"/>
      <c r="M130" s="11"/>
      <c r="N130" s="11"/>
      <c r="O130" s="11"/>
      <c r="P130" s="11"/>
      <c r="Q130" s="11"/>
      <c r="R130" s="11"/>
      <c r="S130" s="11"/>
      <c r="T130" s="11"/>
      <c r="U130" s="11"/>
      <c r="V130" s="11"/>
      <c r="W130" s="11"/>
      <c r="X130" s="11"/>
      <c r="Y130" s="11"/>
      <c r="Z130" s="11"/>
      <c r="AA130" s="11"/>
    </row>
    <row r="131" spans="2:27">
      <c r="B131" s="100"/>
      <c r="C131" s="110" t="s">
        <v>519</v>
      </c>
      <c r="D131" s="24"/>
      <c r="E131" s="24"/>
      <c r="F131" s="365">
        <f>SUM(F128:F130)</f>
        <v>2845.2710699999998</v>
      </c>
      <c r="G131" s="99" t="s">
        <v>223</v>
      </c>
      <c r="H131" s="15"/>
      <c r="I131" s="15"/>
      <c r="J131" s="15"/>
      <c r="K131" s="11"/>
      <c r="L131" s="11"/>
      <c r="M131" s="11"/>
      <c r="N131" s="11"/>
      <c r="O131" s="11"/>
      <c r="P131" s="11"/>
      <c r="Q131" s="11"/>
      <c r="R131" s="11"/>
      <c r="S131" s="11"/>
      <c r="T131" s="11"/>
      <c r="U131" s="11"/>
      <c r="V131" s="11"/>
      <c r="W131" s="11"/>
      <c r="X131" s="11"/>
      <c r="Y131" s="11"/>
      <c r="Z131" s="11"/>
      <c r="AA131" s="11"/>
    </row>
    <row r="132" spans="2:27">
      <c r="B132" s="92"/>
      <c r="C132" s="58"/>
      <c r="D132" s="58"/>
      <c r="E132" s="58"/>
      <c r="F132" s="132"/>
      <c r="G132" s="101"/>
      <c r="H132" s="15"/>
      <c r="I132" s="15"/>
      <c r="J132" s="15"/>
      <c r="K132" s="11"/>
      <c r="L132" s="11"/>
      <c r="M132" s="11"/>
      <c r="N132" s="11"/>
      <c r="O132" s="11"/>
      <c r="P132" s="11"/>
      <c r="Q132" s="11"/>
      <c r="R132" s="11"/>
      <c r="S132" s="11"/>
      <c r="T132" s="11"/>
      <c r="U132" s="11"/>
      <c r="V132" s="11"/>
      <c r="W132" s="11"/>
      <c r="X132" s="11"/>
      <c r="Y132" s="11"/>
      <c r="Z132" s="11"/>
      <c r="AA132" s="11"/>
    </row>
    <row r="133" spans="2:27">
      <c r="B133" s="398" t="s">
        <v>20</v>
      </c>
      <c r="C133" s="402"/>
      <c r="D133" s="402"/>
      <c r="E133" s="402"/>
      <c r="F133" s="407"/>
      <c r="G133" s="404"/>
      <c r="H133" s="15"/>
      <c r="I133" s="15"/>
      <c r="J133" s="15"/>
      <c r="K133" s="11"/>
      <c r="L133" s="11"/>
      <c r="M133" s="11"/>
      <c r="N133" s="11"/>
      <c r="O133" s="11"/>
      <c r="P133" s="11"/>
      <c r="Q133" s="11"/>
      <c r="R133" s="11"/>
      <c r="S133" s="11"/>
      <c r="T133" s="11"/>
      <c r="U133" s="11"/>
      <c r="V133" s="11"/>
      <c r="W133" s="11"/>
      <c r="X133" s="11"/>
      <c r="Y133" s="11"/>
      <c r="Z133" s="11"/>
      <c r="AA133" s="11"/>
    </row>
    <row r="134" spans="2:27">
      <c r="B134" s="100"/>
      <c r="C134" s="110" t="s">
        <v>44</v>
      </c>
      <c r="D134" s="410" t="s">
        <v>517</v>
      </c>
      <c r="E134" s="146"/>
      <c r="F134" s="366">
        <f>F141</f>
        <v>6322.46</v>
      </c>
      <c r="G134" s="99" t="s">
        <v>14</v>
      </c>
      <c r="H134" s="15"/>
      <c r="I134" s="15"/>
      <c r="J134" s="15"/>
      <c r="K134" s="11"/>
      <c r="L134" s="11"/>
      <c r="M134" s="11"/>
      <c r="N134" s="11"/>
      <c r="O134" s="11"/>
      <c r="P134" s="11"/>
      <c r="Q134" s="11"/>
      <c r="R134" s="11"/>
      <c r="S134" s="11"/>
      <c r="T134" s="11"/>
      <c r="U134" s="11"/>
      <c r="V134" s="11"/>
      <c r="W134" s="11"/>
      <c r="X134" s="11"/>
      <c r="Y134" s="11"/>
      <c r="Z134" s="11"/>
      <c r="AA134" s="11"/>
    </row>
    <row r="135" spans="2:27">
      <c r="B135" s="100"/>
      <c r="C135" s="74"/>
      <c r="D135" s="40"/>
      <c r="E135" s="146"/>
      <c r="F135" s="48"/>
      <c r="G135" s="99"/>
      <c r="H135" s="15"/>
      <c r="I135" s="15"/>
      <c r="J135" s="15"/>
      <c r="K135" s="11"/>
      <c r="L135" s="11"/>
      <c r="M135" s="11"/>
      <c r="N135" s="11"/>
      <c r="O135" s="11"/>
      <c r="P135" s="11"/>
      <c r="Q135" s="11"/>
      <c r="R135" s="11"/>
      <c r="S135" s="11"/>
      <c r="T135" s="11"/>
      <c r="U135" s="11"/>
      <c r="V135" s="11"/>
      <c r="W135" s="11"/>
      <c r="X135" s="11"/>
      <c r="Y135" s="11"/>
      <c r="Z135" s="11"/>
      <c r="AA135" s="11"/>
    </row>
    <row r="136" spans="2:27">
      <c r="B136" s="100"/>
      <c r="C136" s="24" t="s">
        <v>164</v>
      </c>
      <c r="D136" s="410" t="s">
        <v>517</v>
      </c>
      <c r="E136" s="147"/>
      <c r="F136" s="428">
        <v>4389.68</v>
      </c>
      <c r="G136" s="99" t="s">
        <v>14</v>
      </c>
      <c r="H136" s="15"/>
      <c r="I136" s="15"/>
      <c r="J136" s="15"/>
      <c r="K136" s="11"/>
      <c r="L136" s="11"/>
      <c r="M136" s="11"/>
      <c r="N136" s="11"/>
      <c r="O136" s="11"/>
      <c r="P136" s="11"/>
      <c r="Q136" s="11"/>
      <c r="R136" s="11"/>
      <c r="S136" s="11"/>
      <c r="T136" s="11"/>
      <c r="U136" s="11"/>
      <c r="V136" s="11"/>
      <c r="W136" s="11"/>
      <c r="X136" s="11"/>
      <c r="Y136" s="11"/>
      <c r="Z136" s="11"/>
      <c r="AA136" s="11"/>
    </row>
    <row r="137" spans="2:27">
      <c r="B137" s="100"/>
      <c r="C137" s="24" t="s">
        <v>154</v>
      </c>
      <c r="D137" s="410" t="s">
        <v>517</v>
      </c>
      <c r="E137" s="147"/>
      <c r="F137" s="429">
        <v>145.28</v>
      </c>
      <c r="G137" s="99" t="s">
        <v>14</v>
      </c>
      <c r="H137" s="15"/>
      <c r="I137" s="15"/>
      <c r="J137" s="15"/>
      <c r="K137" s="11"/>
      <c r="L137" s="11"/>
      <c r="M137" s="11"/>
      <c r="N137" s="11"/>
      <c r="O137" s="11"/>
      <c r="P137" s="11"/>
      <c r="Q137" s="11"/>
      <c r="R137" s="11"/>
      <c r="S137" s="11"/>
      <c r="T137" s="11"/>
      <c r="U137" s="11"/>
      <c r="V137" s="11"/>
      <c r="W137" s="11"/>
      <c r="X137" s="11"/>
      <c r="Y137" s="11"/>
      <c r="Z137" s="11"/>
      <c r="AA137" s="11"/>
    </row>
    <row r="138" spans="2:27">
      <c r="B138" s="100"/>
      <c r="C138" s="24" t="s">
        <v>165</v>
      </c>
      <c r="D138" s="410" t="s">
        <v>517</v>
      </c>
      <c r="E138" s="147"/>
      <c r="F138" s="429">
        <v>1787.5</v>
      </c>
      <c r="G138" s="99" t="s">
        <v>14</v>
      </c>
      <c r="H138" s="15"/>
      <c r="I138" s="15"/>
      <c r="J138" s="15"/>
      <c r="K138" s="11"/>
      <c r="L138" s="11"/>
      <c r="M138" s="11"/>
      <c r="N138" s="11"/>
      <c r="O138" s="11"/>
      <c r="P138" s="11"/>
      <c r="Q138" s="11"/>
      <c r="R138" s="11"/>
      <c r="S138" s="11"/>
      <c r="T138" s="11"/>
      <c r="U138" s="11"/>
      <c r="V138" s="11"/>
      <c r="W138" s="11"/>
      <c r="X138" s="11"/>
      <c r="Y138" s="11"/>
      <c r="Z138" s="11"/>
      <c r="AA138" s="11"/>
    </row>
    <row r="139" spans="2:27">
      <c r="B139" s="100"/>
      <c r="C139" s="24"/>
      <c r="D139" s="111"/>
      <c r="E139" s="147"/>
      <c r="F139" s="46"/>
      <c r="G139" s="99"/>
      <c r="H139" s="15"/>
      <c r="I139" s="15"/>
      <c r="J139" s="15"/>
      <c r="K139" s="11"/>
      <c r="L139" s="11"/>
      <c r="M139" s="11"/>
      <c r="N139" s="11"/>
      <c r="O139" s="11"/>
      <c r="P139" s="11"/>
      <c r="Q139" s="11"/>
      <c r="R139" s="11"/>
      <c r="S139" s="11"/>
      <c r="T139" s="11"/>
      <c r="U139" s="11"/>
      <c r="V139" s="11"/>
      <c r="W139" s="11"/>
      <c r="X139" s="11"/>
      <c r="Y139" s="11"/>
      <c r="Z139" s="11"/>
      <c r="AA139" s="11"/>
    </row>
    <row r="140" spans="2:27">
      <c r="B140" s="100"/>
      <c r="C140" s="24"/>
      <c r="D140" s="111"/>
      <c r="E140" s="147"/>
      <c r="F140" s="47"/>
      <c r="G140" s="99"/>
      <c r="H140" s="15"/>
      <c r="I140" s="15"/>
      <c r="J140" s="15"/>
      <c r="K140" s="11"/>
      <c r="L140" s="11"/>
      <c r="M140" s="11"/>
      <c r="N140" s="11"/>
      <c r="O140" s="11"/>
      <c r="P140" s="11"/>
      <c r="Q140" s="11"/>
      <c r="R140" s="11"/>
      <c r="S140" s="11"/>
      <c r="T140" s="11"/>
      <c r="U140" s="11"/>
      <c r="V140" s="11"/>
      <c r="W140" s="11"/>
      <c r="X140" s="11"/>
      <c r="Y140" s="11"/>
      <c r="Z140" s="11"/>
      <c r="AA140" s="11"/>
    </row>
    <row r="141" spans="2:27">
      <c r="B141" s="100"/>
      <c r="C141" s="49" t="s">
        <v>144</v>
      </c>
      <c r="D141" s="40"/>
      <c r="E141" s="146"/>
      <c r="F141" s="367">
        <f>SUM(F136:F140)</f>
        <v>6322.46</v>
      </c>
      <c r="G141" s="99" t="s">
        <v>14</v>
      </c>
      <c r="H141" s="15"/>
      <c r="I141" s="15"/>
      <c r="J141" s="15"/>
      <c r="K141" s="11"/>
      <c r="L141" s="11"/>
      <c r="M141" s="11"/>
      <c r="N141" s="11"/>
      <c r="O141" s="11"/>
      <c r="P141" s="11"/>
      <c r="Q141" s="11"/>
      <c r="R141" s="11"/>
      <c r="S141" s="11"/>
      <c r="T141" s="11"/>
      <c r="U141" s="11"/>
      <c r="V141" s="11"/>
      <c r="W141" s="11"/>
      <c r="X141" s="11"/>
      <c r="Y141" s="11"/>
      <c r="Z141" s="11"/>
      <c r="AA141" s="11"/>
    </row>
    <row r="142" spans="2:27">
      <c r="B142" s="100"/>
      <c r="C142" s="24" t="s">
        <v>224</v>
      </c>
      <c r="D142" s="40"/>
      <c r="E142" s="146"/>
      <c r="F142" s="430">
        <v>178.17</v>
      </c>
      <c r="G142" s="99" t="s">
        <v>14</v>
      </c>
      <c r="H142" s="15"/>
      <c r="I142" s="15"/>
      <c r="J142" s="15"/>
      <c r="K142" s="11"/>
      <c r="L142" s="11"/>
      <c r="M142" s="11"/>
      <c r="N142" s="11"/>
      <c r="O142" s="11"/>
      <c r="P142" s="11"/>
      <c r="Q142" s="11"/>
      <c r="R142" s="11"/>
      <c r="S142" s="11"/>
      <c r="T142" s="11"/>
      <c r="U142" s="11"/>
      <c r="V142" s="11"/>
      <c r="W142" s="11"/>
      <c r="X142" s="11"/>
      <c r="Y142" s="11"/>
      <c r="Z142" s="11"/>
      <c r="AA142" s="11"/>
    </row>
    <row r="143" spans="2:27">
      <c r="B143" s="100"/>
      <c r="C143" s="74"/>
      <c r="D143" s="40"/>
      <c r="E143" s="146"/>
      <c r="F143" s="48"/>
      <c r="G143" s="99"/>
      <c r="H143" s="15"/>
      <c r="I143" s="15"/>
      <c r="J143" s="15"/>
      <c r="K143" s="11"/>
      <c r="L143" s="11"/>
      <c r="M143" s="11"/>
      <c r="N143" s="11"/>
      <c r="O143" s="11"/>
      <c r="P143" s="11"/>
      <c r="Q143" s="11"/>
      <c r="R143" s="11"/>
      <c r="S143" s="11"/>
      <c r="T143" s="11"/>
      <c r="U143" s="11"/>
      <c r="V143" s="11"/>
      <c r="W143" s="11"/>
      <c r="X143" s="11"/>
      <c r="Y143" s="11"/>
      <c r="Z143" s="11"/>
      <c r="AA143" s="11"/>
    </row>
    <row r="144" spans="2:27">
      <c r="B144" s="100"/>
      <c r="C144" s="24"/>
      <c r="D144" s="24"/>
      <c r="E144" s="24"/>
      <c r="F144" s="48"/>
      <c r="G144" s="99"/>
      <c r="H144" s="15"/>
      <c r="I144" s="15"/>
      <c r="J144" s="15"/>
      <c r="K144" s="11"/>
      <c r="L144" s="11"/>
      <c r="M144" s="11"/>
      <c r="N144" s="11"/>
      <c r="O144" s="11"/>
      <c r="P144" s="11"/>
      <c r="Q144" s="11"/>
      <c r="R144" s="11"/>
      <c r="S144" s="11"/>
      <c r="T144" s="11"/>
      <c r="U144" s="11"/>
      <c r="V144" s="11"/>
      <c r="W144" s="11"/>
      <c r="X144" s="11"/>
      <c r="Y144" s="11"/>
      <c r="Z144" s="11"/>
      <c r="AA144" s="11"/>
    </row>
    <row r="145" spans="2:27">
      <c r="B145" s="100"/>
      <c r="C145" s="148" t="s">
        <v>153</v>
      </c>
      <c r="D145" s="50" t="s">
        <v>155</v>
      </c>
      <c r="E145" s="51" t="s">
        <v>166</v>
      </c>
      <c r="F145" s="51" t="s">
        <v>43</v>
      </c>
      <c r="G145" s="99"/>
      <c r="H145" s="15"/>
      <c r="I145" s="15"/>
      <c r="J145" s="15"/>
      <c r="K145" s="11"/>
      <c r="L145" s="11"/>
      <c r="M145" s="11"/>
      <c r="N145" s="11"/>
      <c r="O145" s="11"/>
      <c r="P145" s="11"/>
      <c r="Q145" s="11"/>
      <c r="R145" s="11"/>
      <c r="S145" s="11"/>
      <c r="T145" s="11"/>
      <c r="U145" s="11"/>
      <c r="V145" s="11"/>
      <c r="W145" s="11"/>
      <c r="X145" s="11"/>
      <c r="Y145" s="11"/>
      <c r="Z145" s="11"/>
      <c r="AA145" s="11"/>
    </row>
    <row r="146" spans="2:27">
      <c r="B146" s="100"/>
      <c r="C146" s="149" t="s">
        <v>475</v>
      </c>
      <c r="D146" s="428">
        <v>164.76</v>
      </c>
      <c r="E146" s="428">
        <v>0</v>
      </c>
      <c r="F146" s="368">
        <f t="shared" ref="F146:F149" si="1">SUM(D146:E146)</f>
        <v>164.76</v>
      </c>
      <c r="G146" s="99" t="s">
        <v>14</v>
      </c>
      <c r="H146" s="15"/>
      <c r="I146" s="15"/>
      <c r="J146" s="15"/>
      <c r="K146" s="11"/>
      <c r="L146" s="11"/>
      <c r="M146" s="11"/>
      <c r="N146" s="11"/>
      <c r="O146" s="11"/>
      <c r="P146" s="11"/>
      <c r="Q146" s="11"/>
      <c r="R146" s="11"/>
      <c r="S146" s="11"/>
      <c r="T146" s="11"/>
      <c r="U146" s="11"/>
      <c r="V146" s="11"/>
      <c r="W146" s="11"/>
      <c r="X146" s="11"/>
      <c r="Y146" s="11"/>
      <c r="Z146" s="11"/>
      <c r="AA146" s="11"/>
    </row>
    <row r="147" spans="2:27">
      <c r="B147" s="100"/>
      <c r="C147" s="149" t="s">
        <v>476</v>
      </c>
      <c r="D147" s="429">
        <v>198.14</v>
      </c>
      <c r="E147" s="429">
        <v>1873</v>
      </c>
      <c r="F147" s="369">
        <f t="shared" si="1"/>
        <v>2071.14</v>
      </c>
      <c r="G147" s="99" t="s">
        <v>14</v>
      </c>
      <c r="H147" s="15"/>
      <c r="I147" s="15"/>
      <c r="J147" s="15"/>
      <c r="K147" s="11"/>
      <c r="L147" s="11"/>
      <c r="M147" s="11"/>
      <c r="N147" s="11"/>
      <c r="O147" s="11"/>
      <c r="P147" s="11"/>
      <c r="Q147" s="11"/>
      <c r="R147" s="11"/>
      <c r="S147" s="11"/>
      <c r="T147" s="11"/>
      <c r="U147" s="11"/>
      <c r="V147" s="11"/>
      <c r="W147" s="11"/>
      <c r="X147" s="11"/>
      <c r="Y147" s="11"/>
      <c r="Z147" s="11"/>
      <c r="AA147" s="11"/>
    </row>
    <row r="148" spans="2:27">
      <c r="B148" s="100"/>
      <c r="C148" s="149" t="s">
        <v>520</v>
      </c>
      <c r="D148" s="429">
        <v>199.66</v>
      </c>
      <c r="E148" s="429">
        <v>0</v>
      </c>
      <c r="F148" s="369">
        <f t="shared" si="1"/>
        <v>199.66</v>
      </c>
      <c r="G148" s="99" t="s">
        <v>14</v>
      </c>
      <c r="H148" s="15"/>
      <c r="I148" s="15"/>
      <c r="J148" s="15"/>
      <c r="K148" s="11"/>
      <c r="L148" s="11"/>
      <c r="M148" s="11"/>
      <c r="N148" s="11"/>
      <c r="O148" s="11"/>
      <c r="P148" s="11"/>
      <c r="Q148" s="11"/>
      <c r="R148" s="11"/>
      <c r="S148" s="11"/>
      <c r="T148" s="11"/>
      <c r="U148" s="11"/>
      <c r="V148" s="11"/>
      <c r="W148" s="11"/>
      <c r="X148" s="11"/>
      <c r="Y148" s="11"/>
      <c r="Z148" s="11"/>
      <c r="AA148" s="11"/>
    </row>
    <row r="149" spans="2:27">
      <c r="B149" s="100"/>
      <c r="C149" s="149" t="s">
        <v>521</v>
      </c>
      <c r="D149" s="431">
        <v>1397.49</v>
      </c>
      <c r="E149" s="431">
        <v>2570.75</v>
      </c>
      <c r="F149" s="370">
        <f t="shared" si="1"/>
        <v>3968.24</v>
      </c>
      <c r="G149" s="99"/>
      <c r="H149" s="15"/>
      <c r="I149" s="15"/>
      <c r="J149" s="15"/>
      <c r="K149" s="11"/>
      <c r="L149" s="11"/>
      <c r="M149" s="11"/>
      <c r="N149" s="11"/>
      <c r="O149" s="11"/>
      <c r="P149" s="11"/>
      <c r="Q149" s="11"/>
      <c r="R149" s="11"/>
      <c r="S149" s="11"/>
      <c r="T149" s="11"/>
      <c r="U149" s="11"/>
      <c r="V149" s="11"/>
      <c r="W149" s="11"/>
      <c r="X149" s="11"/>
      <c r="Y149" s="11"/>
      <c r="Z149" s="11"/>
      <c r="AA149" s="11"/>
    </row>
    <row r="150" spans="2:27">
      <c r="B150" s="100"/>
      <c r="C150" s="110" t="s">
        <v>21</v>
      </c>
      <c r="D150" s="367">
        <f>SUM(D146:D149)</f>
        <v>1960.05</v>
      </c>
      <c r="E150" s="367">
        <f>SUM(E146:E149)</f>
        <v>4443.75</v>
      </c>
      <c r="F150" s="367">
        <f>SUM(F146:F149)</f>
        <v>6403.7999999999993</v>
      </c>
      <c r="G150" s="99" t="s">
        <v>14</v>
      </c>
      <c r="H150" s="15"/>
      <c r="I150" s="15"/>
      <c r="J150" s="15"/>
      <c r="K150" s="11"/>
      <c r="L150" s="11"/>
      <c r="M150" s="11"/>
      <c r="N150" s="11"/>
      <c r="O150" s="11"/>
      <c r="P150" s="11"/>
      <c r="Q150" s="11"/>
      <c r="R150" s="11"/>
      <c r="S150" s="11"/>
      <c r="T150" s="11"/>
      <c r="U150" s="11"/>
      <c r="V150" s="11"/>
      <c r="W150" s="11"/>
      <c r="X150" s="11"/>
      <c r="Y150" s="11"/>
      <c r="Z150" s="11"/>
      <c r="AA150" s="11"/>
    </row>
    <row r="151" spans="2:27">
      <c r="B151" s="100"/>
      <c r="C151" s="74"/>
      <c r="D151" s="48"/>
      <c r="E151" s="48"/>
      <c r="F151" s="48"/>
      <c r="G151" s="99"/>
      <c r="H151" s="15"/>
      <c r="I151" s="15"/>
      <c r="J151" s="15"/>
      <c r="K151" s="11"/>
      <c r="L151" s="11"/>
      <c r="M151" s="11"/>
      <c r="N151" s="11"/>
      <c r="O151" s="11"/>
      <c r="P151" s="11"/>
      <c r="Q151" s="11"/>
      <c r="R151" s="11"/>
      <c r="S151" s="11"/>
      <c r="T151" s="11"/>
      <c r="U151" s="11"/>
      <c r="V151" s="11"/>
      <c r="W151" s="11"/>
      <c r="X151" s="11"/>
      <c r="Y151" s="11"/>
      <c r="Z151" s="11"/>
      <c r="AA151" s="11"/>
    </row>
    <row r="152" spans="2:27">
      <c r="B152" s="490" t="s">
        <v>522</v>
      </c>
      <c r="C152" s="491"/>
      <c r="D152" s="491"/>
      <c r="E152" s="491"/>
      <c r="F152" s="491"/>
      <c r="G152" s="492"/>
      <c r="H152" s="15"/>
      <c r="I152" s="15"/>
      <c r="J152" s="15"/>
      <c r="K152" s="11"/>
      <c r="L152" s="11"/>
      <c r="M152" s="11"/>
      <c r="N152" s="11"/>
      <c r="O152" s="11"/>
      <c r="P152" s="11"/>
      <c r="Q152" s="11"/>
      <c r="R152" s="11"/>
      <c r="S152" s="11"/>
      <c r="T152" s="11"/>
      <c r="U152" s="11"/>
      <c r="V152" s="11"/>
      <c r="W152" s="11"/>
      <c r="X152" s="11"/>
      <c r="Y152" s="11"/>
      <c r="Z152" s="11"/>
      <c r="AA152" s="11"/>
    </row>
    <row r="153" spans="2:27">
      <c r="B153" s="490" t="s">
        <v>477</v>
      </c>
      <c r="C153" s="491"/>
      <c r="D153" s="491"/>
      <c r="E153" s="491"/>
      <c r="F153" s="491"/>
      <c r="G153" s="492"/>
      <c r="H153" s="15"/>
      <c r="I153" s="15"/>
      <c r="J153" s="15"/>
      <c r="K153" s="11"/>
      <c r="L153" s="11"/>
      <c r="M153" s="11"/>
      <c r="N153" s="11"/>
      <c r="O153" s="11"/>
      <c r="P153" s="11"/>
      <c r="Q153" s="11"/>
      <c r="R153" s="11"/>
      <c r="S153" s="11"/>
      <c r="T153" s="11"/>
      <c r="U153" s="11"/>
      <c r="V153" s="11"/>
      <c r="W153" s="11"/>
      <c r="X153" s="11"/>
      <c r="Y153" s="11"/>
      <c r="Z153" s="11"/>
      <c r="AA153" s="11"/>
    </row>
    <row r="154" spans="2:27">
      <c r="B154" s="92"/>
      <c r="C154" s="58"/>
      <c r="D154" s="58"/>
      <c r="E154" s="58"/>
      <c r="F154" s="120"/>
      <c r="G154" s="101"/>
      <c r="H154" s="15"/>
      <c r="I154" s="15"/>
      <c r="J154" s="15"/>
      <c r="K154" s="11"/>
      <c r="L154" s="11"/>
      <c r="M154" s="11"/>
      <c r="N154" s="11"/>
      <c r="O154" s="11"/>
      <c r="P154" s="11"/>
      <c r="Q154" s="11"/>
      <c r="R154" s="11"/>
      <c r="S154" s="11"/>
      <c r="T154" s="11"/>
      <c r="U154" s="11"/>
      <c r="V154" s="11"/>
      <c r="W154" s="11"/>
      <c r="X154" s="11"/>
      <c r="Y154" s="11"/>
      <c r="Z154" s="11"/>
      <c r="AA154" s="11"/>
    </row>
    <row r="155" spans="2:27">
      <c r="B155" s="398" t="s">
        <v>10</v>
      </c>
      <c r="C155" s="402"/>
      <c r="D155" s="402"/>
      <c r="E155" s="402"/>
      <c r="F155" s="403"/>
      <c r="G155" s="404"/>
      <c r="H155" s="15"/>
      <c r="I155" s="15"/>
      <c r="J155" s="15"/>
      <c r="K155" s="11"/>
      <c r="L155" s="11"/>
      <c r="M155" s="11"/>
      <c r="N155" s="11"/>
      <c r="O155" s="11"/>
      <c r="P155" s="11"/>
      <c r="Q155" s="11"/>
      <c r="R155" s="11"/>
      <c r="S155" s="11"/>
      <c r="T155" s="11"/>
      <c r="U155" s="11"/>
      <c r="V155" s="11"/>
      <c r="W155" s="11"/>
      <c r="X155" s="11"/>
      <c r="Y155" s="11"/>
      <c r="Z155" s="11"/>
      <c r="AA155" s="11"/>
    </row>
    <row r="156" spans="2:27">
      <c r="B156" s="150"/>
      <c r="C156" s="110" t="s">
        <v>34</v>
      </c>
      <c r="D156" s="410" t="s">
        <v>517</v>
      </c>
      <c r="E156" s="151"/>
      <c r="F156" s="359">
        <f>+F134</f>
        <v>6322.46</v>
      </c>
      <c r="G156" s="99" t="s">
        <v>14</v>
      </c>
      <c r="H156" s="15"/>
      <c r="I156" s="15"/>
      <c r="J156" s="15"/>
      <c r="K156" s="11"/>
      <c r="L156" s="11"/>
      <c r="M156" s="11"/>
      <c r="N156" s="11"/>
      <c r="O156" s="11"/>
      <c r="P156" s="11"/>
      <c r="Q156" s="11"/>
      <c r="R156" s="11"/>
      <c r="S156" s="11"/>
      <c r="T156" s="11"/>
      <c r="U156" s="11"/>
      <c r="V156" s="11"/>
      <c r="W156" s="11"/>
      <c r="X156" s="11"/>
      <c r="Y156" s="11"/>
      <c r="Z156" s="11"/>
      <c r="AA156" s="11"/>
    </row>
    <row r="157" spans="2:27">
      <c r="B157" s="100"/>
      <c r="C157" s="152" t="s">
        <v>11</v>
      </c>
      <c r="D157" s="111"/>
      <c r="E157" s="24"/>
      <c r="F157" s="432">
        <v>1</v>
      </c>
      <c r="G157" s="99" t="s">
        <v>5</v>
      </c>
      <c r="H157" s="15"/>
      <c r="I157" s="15"/>
      <c r="J157" s="15"/>
      <c r="K157" s="11"/>
      <c r="L157" s="11"/>
      <c r="M157" s="11"/>
      <c r="N157" s="11"/>
      <c r="O157" s="11"/>
      <c r="P157" s="11"/>
      <c r="Q157" s="11"/>
      <c r="R157" s="11"/>
      <c r="S157" s="11"/>
      <c r="T157" s="11"/>
      <c r="U157" s="11"/>
      <c r="V157" s="11"/>
      <c r="W157" s="11"/>
      <c r="X157" s="11"/>
      <c r="Y157" s="11"/>
      <c r="Z157" s="11"/>
      <c r="AA157" s="11"/>
    </row>
    <row r="158" spans="2:27">
      <c r="B158" s="100"/>
      <c r="C158" s="24"/>
      <c r="D158" s="24"/>
      <c r="E158" s="24"/>
      <c r="F158" s="135"/>
      <c r="G158" s="99"/>
      <c r="H158" s="15"/>
      <c r="I158" s="15"/>
      <c r="J158" s="15"/>
      <c r="K158" s="11"/>
      <c r="L158" s="11"/>
      <c r="M158" s="11"/>
      <c r="N158" s="11"/>
      <c r="O158" s="11"/>
      <c r="P158" s="11"/>
      <c r="Q158" s="11"/>
      <c r="R158" s="11"/>
      <c r="S158" s="11"/>
      <c r="T158" s="11"/>
      <c r="U158" s="11"/>
      <c r="V158" s="11"/>
      <c r="W158" s="11"/>
      <c r="X158" s="11"/>
      <c r="Y158" s="11"/>
      <c r="Z158" s="11"/>
      <c r="AA158" s="11"/>
    </row>
    <row r="159" spans="2:27">
      <c r="B159" s="150" t="s">
        <v>250</v>
      </c>
      <c r="C159" s="110" t="s">
        <v>478</v>
      </c>
      <c r="D159" s="410"/>
      <c r="E159" s="24"/>
      <c r="F159" s="433">
        <v>4.4999999999999998E-2</v>
      </c>
      <c r="G159" s="99"/>
      <c r="H159" s="15"/>
      <c r="I159" s="15"/>
      <c r="J159" s="15"/>
      <c r="K159" s="11"/>
      <c r="L159" s="11"/>
      <c r="M159" s="11"/>
      <c r="N159" s="11"/>
      <c r="O159" s="11"/>
      <c r="P159" s="11"/>
      <c r="Q159" s="11"/>
      <c r="R159" s="11"/>
      <c r="S159" s="11"/>
      <c r="T159" s="11"/>
      <c r="U159" s="11"/>
      <c r="V159" s="11"/>
      <c r="W159" s="11"/>
      <c r="X159" s="11"/>
      <c r="Y159" s="11"/>
      <c r="Z159" s="11"/>
      <c r="AA159" s="11"/>
    </row>
    <row r="160" spans="2:27">
      <c r="B160" s="100"/>
      <c r="C160" s="110" t="s">
        <v>142</v>
      </c>
      <c r="D160" s="111"/>
      <c r="E160" s="24"/>
      <c r="F160" s="470">
        <f>F159*F156</f>
        <v>284.51069999999999</v>
      </c>
      <c r="G160" s="99" t="s">
        <v>14</v>
      </c>
      <c r="H160" s="15"/>
      <c r="I160" s="15"/>
      <c r="J160" s="15"/>
      <c r="K160" s="11"/>
      <c r="L160" s="11"/>
      <c r="M160" s="11"/>
      <c r="N160" s="11"/>
      <c r="O160" s="11"/>
      <c r="P160" s="11"/>
      <c r="Q160" s="11"/>
      <c r="R160" s="11"/>
      <c r="S160" s="11"/>
      <c r="T160" s="11"/>
      <c r="U160" s="11"/>
      <c r="V160" s="11"/>
      <c r="W160" s="11"/>
      <c r="X160" s="11"/>
      <c r="Y160" s="11"/>
      <c r="Z160" s="11"/>
      <c r="AA160" s="11"/>
    </row>
    <row r="161" spans="2:27">
      <c r="B161" s="100"/>
      <c r="C161" s="24"/>
      <c r="D161" s="24"/>
      <c r="E161" s="24"/>
      <c r="F161" s="153"/>
      <c r="G161" s="99"/>
      <c r="H161" s="15"/>
      <c r="I161" s="15"/>
      <c r="J161" s="15"/>
      <c r="K161" s="11"/>
      <c r="L161" s="11"/>
      <c r="M161" s="11"/>
      <c r="N161" s="11"/>
      <c r="O161" s="11"/>
      <c r="P161" s="11"/>
      <c r="Q161" s="11"/>
      <c r="R161" s="11"/>
      <c r="S161" s="11"/>
      <c r="T161" s="11"/>
      <c r="U161" s="11"/>
      <c r="V161" s="11"/>
      <c r="W161" s="11"/>
      <c r="X161" s="11"/>
      <c r="Y161" s="11"/>
      <c r="Z161" s="11"/>
      <c r="AA161" s="11"/>
    </row>
    <row r="162" spans="2:27">
      <c r="B162" s="150" t="s">
        <v>251</v>
      </c>
      <c r="C162" s="110" t="s">
        <v>196</v>
      </c>
      <c r="D162" s="410" t="s">
        <v>517</v>
      </c>
      <c r="E162" s="24"/>
      <c r="F162" s="486">
        <v>11.565</v>
      </c>
      <c r="G162" s="99" t="s">
        <v>14</v>
      </c>
      <c r="H162" s="15"/>
      <c r="I162" s="15"/>
      <c r="J162" s="15"/>
      <c r="K162" s="11"/>
      <c r="L162" s="11"/>
      <c r="M162" s="11"/>
      <c r="N162" s="11"/>
      <c r="O162" s="11"/>
      <c r="P162" s="11"/>
      <c r="Q162" s="11"/>
      <c r="R162" s="11"/>
      <c r="S162" s="11"/>
      <c r="T162" s="11"/>
      <c r="U162" s="11"/>
      <c r="V162" s="11"/>
      <c r="W162" s="11"/>
      <c r="X162" s="11"/>
      <c r="Y162" s="11"/>
      <c r="Z162" s="11"/>
      <c r="AA162" s="11"/>
    </row>
    <row r="163" spans="2:27">
      <c r="B163" s="150"/>
      <c r="C163" s="74"/>
      <c r="D163" s="24"/>
      <c r="E163" s="24"/>
      <c r="F163" s="153"/>
      <c r="G163" s="99"/>
      <c r="H163" s="15"/>
      <c r="I163" s="15"/>
      <c r="J163" s="15"/>
      <c r="K163" s="11"/>
      <c r="L163" s="11"/>
      <c r="M163" s="11"/>
      <c r="N163" s="11"/>
      <c r="O163" s="11"/>
      <c r="P163" s="11"/>
      <c r="Q163" s="11"/>
      <c r="R163" s="11"/>
      <c r="S163" s="11"/>
      <c r="T163" s="11"/>
      <c r="U163" s="11"/>
      <c r="V163" s="11"/>
      <c r="W163" s="11"/>
      <c r="X163" s="11"/>
      <c r="Y163" s="11"/>
      <c r="Z163" s="11"/>
      <c r="AA163" s="11"/>
    </row>
    <row r="164" spans="2:27">
      <c r="B164" s="150" t="s">
        <v>159</v>
      </c>
      <c r="C164" s="110" t="s">
        <v>160</v>
      </c>
      <c r="D164" s="410" t="s">
        <v>517</v>
      </c>
      <c r="E164" s="24"/>
      <c r="F164" s="486">
        <v>10.936999999999999</v>
      </c>
      <c r="G164" s="99" t="s">
        <v>14</v>
      </c>
      <c r="H164" s="15"/>
      <c r="I164" s="15"/>
      <c r="J164" s="15"/>
      <c r="K164" s="11"/>
      <c r="L164" s="11"/>
      <c r="M164" s="11"/>
      <c r="N164" s="11"/>
      <c r="O164" s="11"/>
      <c r="P164" s="11"/>
      <c r="Q164" s="11"/>
      <c r="R164" s="11"/>
      <c r="S164" s="11"/>
      <c r="T164" s="11"/>
      <c r="U164" s="11"/>
      <c r="V164" s="11"/>
      <c r="W164" s="11"/>
      <c r="X164" s="11"/>
      <c r="Y164" s="11"/>
      <c r="Z164" s="11"/>
      <c r="AA164" s="11"/>
    </row>
    <row r="165" spans="2:27">
      <c r="B165" s="100"/>
      <c r="C165" s="74"/>
      <c r="D165" s="24"/>
      <c r="E165" s="24"/>
      <c r="F165" s="135"/>
      <c r="G165" s="99"/>
      <c r="H165" s="15"/>
      <c r="I165" s="15"/>
      <c r="J165" s="15"/>
      <c r="K165" s="11"/>
      <c r="L165" s="11"/>
      <c r="M165" s="11"/>
      <c r="N165" s="11"/>
      <c r="O165" s="11"/>
      <c r="P165" s="11"/>
      <c r="Q165" s="11"/>
      <c r="R165" s="11"/>
      <c r="S165" s="11"/>
      <c r="T165" s="11"/>
      <c r="U165" s="11"/>
      <c r="V165" s="11"/>
      <c r="W165" s="11"/>
      <c r="X165" s="11"/>
      <c r="Y165" s="11"/>
      <c r="Z165" s="11"/>
      <c r="AA165" s="11"/>
    </row>
    <row r="166" spans="2:27">
      <c r="B166" s="100"/>
      <c r="C166" s="110" t="s">
        <v>33</v>
      </c>
      <c r="D166" s="24"/>
      <c r="E166" s="24"/>
      <c r="F166" s="371">
        <f>+F162+F160+F164</f>
        <v>307.0127</v>
      </c>
      <c r="G166" s="99"/>
      <c r="H166" s="15"/>
      <c r="I166" s="15"/>
      <c r="J166" s="15"/>
      <c r="K166" s="11"/>
      <c r="L166" s="11"/>
      <c r="M166" s="11"/>
      <c r="N166" s="11"/>
      <c r="O166" s="11"/>
      <c r="P166" s="11"/>
      <c r="Q166" s="11"/>
      <c r="R166" s="11"/>
      <c r="S166" s="11"/>
      <c r="T166" s="11"/>
      <c r="U166" s="11"/>
      <c r="V166" s="11"/>
      <c r="W166" s="11"/>
      <c r="X166" s="11"/>
      <c r="Y166" s="11"/>
      <c r="Z166" s="11"/>
      <c r="AA166" s="11"/>
    </row>
    <row r="167" spans="2:27">
      <c r="B167" s="100"/>
      <c r="C167" s="24"/>
      <c r="D167" s="24"/>
      <c r="E167" s="24"/>
      <c r="F167" s="135"/>
      <c r="G167" s="99"/>
      <c r="H167" s="15"/>
      <c r="I167" s="15"/>
      <c r="J167" s="15"/>
      <c r="K167" s="11"/>
      <c r="L167" s="11"/>
      <c r="M167" s="11"/>
      <c r="N167" s="11"/>
      <c r="O167" s="11"/>
      <c r="P167" s="11"/>
      <c r="Q167" s="11"/>
      <c r="R167" s="11"/>
      <c r="S167" s="11"/>
      <c r="T167" s="11"/>
      <c r="U167" s="11"/>
      <c r="V167" s="11"/>
      <c r="W167" s="11"/>
      <c r="X167" s="11"/>
      <c r="Y167" s="11"/>
      <c r="Z167" s="11"/>
      <c r="AA167" s="11"/>
    </row>
    <row r="168" spans="2:27">
      <c r="B168" s="490" t="s">
        <v>197</v>
      </c>
      <c r="C168" s="491"/>
      <c r="D168" s="491"/>
      <c r="E168" s="491"/>
      <c r="F168" s="491"/>
      <c r="G168" s="492"/>
      <c r="H168" s="15"/>
      <c r="I168" s="15"/>
      <c r="J168" s="15"/>
      <c r="K168" s="11"/>
      <c r="L168" s="11"/>
      <c r="M168" s="11"/>
      <c r="N168" s="11"/>
      <c r="O168" s="11"/>
      <c r="P168" s="11"/>
      <c r="Q168" s="11"/>
      <c r="R168" s="11"/>
      <c r="S168" s="11"/>
      <c r="T168" s="11"/>
      <c r="U168" s="11"/>
      <c r="V168" s="11"/>
      <c r="W168" s="11"/>
      <c r="X168" s="11"/>
      <c r="Y168" s="11"/>
      <c r="Z168" s="11"/>
      <c r="AA168" s="11"/>
    </row>
    <row r="169" spans="2:27">
      <c r="B169" s="490" t="s">
        <v>523</v>
      </c>
      <c r="C169" s="491"/>
      <c r="D169" s="491"/>
      <c r="E169" s="491"/>
      <c r="F169" s="491" t="s">
        <v>198</v>
      </c>
      <c r="G169" s="492"/>
      <c r="H169" s="15"/>
      <c r="I169" s="15"/>
      <c r="J169" s="15"/>
      <c r="K169" s="11"/>
      <c r="L169" s="11"/>
      <c r="M169" s="11"/>
      <c r="N169" s="11"/>
      <c r="O169" s="11"/>
      <c r="P169" s="11"/>
      <c r="Q169" s="11"/>
      <c r="R169" s="11"/>
      <c r="S169" s="11"/>
      <c r="T169" s="11"/>
      <c r="U169" s="11"/>
      <c r="V169" s="11"/>
      <c r="W169" s="11"/>
      <c r="X169" s="11"/>
      <c r="Y169" s="11"/>
      <c r="Z169" s="11"/>
      <c r="AA169" s="11"/>
    </row>
    <row r="170" spans="2:27">
      <c r="B170" s="92"/>
      <c r="C170" s="58"/>
      <c r="D170" s="58"/>
      <c r="E170" s="58"/>
      <c r="F170" s="132"/>
      <c r="G170" s="101"/>
      <c r="H170" s="15"/>
      <c r="I170" s="15"/>
      <c r="J170" s="15"/>
      <c r="K170" s="11"/>
      <c r="L170" s="11"/>
      <c r="M170" s="11"/>
      <c r="N170" s="11"/>
      <c r="O170" s="11"/>
      <c r="P170" s="11"/>
      <c r="Q170" s="11"/>
      <c r="R170" s="11"/>
      <c r="S170" s="11"/>
      <c r="T170" s="11"/>
      <c r="U170" s="11"/>
      <c r="V170" s="11"/>
      <c r="W170" s="11"/>
      <c r="X170" s="11"/>
      <c r="Y170" s="11"/>
      <c r="Z170" s="11"/>
      <c r="AA170" s="11"/>
    </row>
    <row r="171" spans="2:27">
      <c r="B171" s="408" t="s">
        <v>18</v>
      </c>
      <c r="C171" s="402"/>
      <c r="D171" s="402"/>
      <c r="E171" s="402"/>
      <c r="F171" s="409"/>
      <c r="G171" s="404"/>
      <c r="H171" s="15"/>
      <c r="I171" s="15"/>
      <c r="J171" s="15"/>
      <c r="K171" s="11"/>
      <c r="L171" s="11"/>
      <c r="M171" s="11"/>
      <c r="N171" s="11"/>
      <c r="O171" s="11"/>
      <c r="P171" s="11"/>
      <c r="Q171" s="11"/>
      <c r="R171" s="11"/>
      <c r="S171" s="11"/>
      <c r="T171" s="11"/>
      <c r="U171" s="11"/>
      <c r="V171" s="11"/>
      <c r="W171" s="11"/>
      <c r="X171" s="11"/>
      <c r="Y171" s="11"/>
      <c r="Z171" s="11"/>
      <c r="AA171" s="11"/>
    </row>
    <row r="172" spans="2:27">
      <c r="B172" s="100"/>
      <c r="C172" s="110" t="s">
        <v>50</v>
      </c>
      <c r="D172" s="410" t="s">
        <v>517</v>
      </c>
      <c r="E172" s="151"/>
      <c r="F172" s="427">
        <v>209.06100000000001</v>
      </c>
      <c r="G172" s="99" t="s">
        <v>14</v>
      </c>
      <c r="H172" s="15"/>
      <c r="I172" s="15"/>
      <c r="J172" s="15"/>
      <c r="K172" s="11"/>
      <c r="L172" s="11"/>
      <c r="M172" s="11"/>
      <c r="N172" s="11"/>
      <c r="O172" s="11"/>
      <c r="P172" s="11"/>
      <c r="Q172" s="11"/>
      <c r="R172" s="11"/>
      <c r="S172" s="11"/>
      <c r="T172" s="11"/>
      <c r="U172" s="11"/>
      <c r="V172" s="11"/>
      <c r="W172" s="11"/>
      <c r="X172" s="11"/>
      <c r="Y172" s="11"/>
      <c r="Z172" s="11"/>
      <c r="AA172" s="11"/>
    </row>
    <row r="173" spans="2:27">
      <c r="B173" s="100"/>
      <c r="C173" s="110" t="s">
        <v>199</v>
      </c>
      <c r="D173" s="410" t="s">
        <v>517</v>
      </c>
      <c r="E173" s="151"/>
      <c r="F173" s="434">
        <v>7927.2640000000001</v>
      </c>
      <c r="G173" s="99" t="s">
        <v>14</v>
      </c>
      <c r="H173" s="15"/>
      <c r="I173" s="15"/>
      <c r="J173" s="15"/>
      <c r="K173" s="11"/>
      <c r="L173" s="11"/>
      <c r="M173" s="11"/>
      <c r="N173" s="11"/>
      <c r="O173" s="11"/>
      <c r="P173" s="11"/>
      <c r="Q173" s="11"/>
      <c r="R173" s="11"/>
      <c r="S173" s="11"/>
      <c r="T173" s="11"/>
      <c r="U173" s="11"/>
      <c r="V173" s="11"/>
      <c r="W173" s="11"/>
      <c r="X173" s="11"/>
      <c r="Y173" s="11"/>
      <c r="Z173" s="11"/>
      <c r="AA173" s="11"/>
    </row>
    <row r="174" spans="2:27">
      <c r="B174" s="100"/>
      <c r="C174" s="24" t="s">
        <v>200</v>
      </c>
      <c r="D174" s="410" t="s">
        <v>517</v>
      </c>
      <c r="E174" s="151"/>
      <c r="F174" s="435">
        <f>2453.208+1001.673</f>
        <v>3454.8810000000003</v>
      </c>
      <c r="G174" s="99" t="s">
        <v>14</v>
      </c>
      <c r="H174" s="15"/>
      <c r="I174" s="15"/>
      <c r="J174" s="15"/>
      <c r="K174" s="11"/>
      <c r="L174" s="11"/>
      <c r="M174" s="11"/>
      <c r="N174" s="11"/>
      <c r="O174" s="11"/>
      <c r="P174" s="11"/>
      <c r="Q174" s="11"/>
      <c r="R174" s="11"/>
      <c r="S174" s="11"/>
      <c r="T174" s="11"/>
      <c r="U174" s="11"/>
      <c r="V174" s="11"/>
      <c r="W174" s="11"/>
      <c r="X174" s="11"/>
      <c r="Y174" s="11"/>
      <c r="Z174" s="11"/>
      <c r="AA174" s="11"/>
    </row>
    <row r="175" spans="2:27">
      <c r="B175" s="100"/>
      <c r="C175" s="110" t="s">
        <v>201</v>
      </c>
      <c r="D175" s="410" t="s">
        <v>517</v>
      </c>
      <c r="E175" s="151"/>
      <c r="F175" s="372">
        <f>F173-F174</f>
        <v>4472.3829999999998</v>
      </c>
      <c r="G175" s="99" t="s">
        <v>14</v>
      </c>
      <c r="H175" s="15"/>
      <c r="I175" s="15"/>
      <c r="J175" s="15"/>
      <c r="K175" s="11"/>
      <c r="L175" s="11"/>
      <c r="M175" s="11"/>
      <c r="N175" s="11"/>
      <c r="O175" s="11"/>
      <c r="P175" s="11"/>
      <c r="Q175" s="11"/>
      <c r="R175" s="11"/>
      <c r="S175" s="11"/>
      <c r="T175" s="11"/>
      <c r="U175" s="11"/>
      <c r="V175" s="11"/>
      <c r="W175" s="11"/>
      <c r="X175" s="11"/>
      <c r="Y175" s="11"/>
      <c r="Z175" s="11"/>
      <c r="AA175" s="11"/>
    </row>
    <row r="176" spans="2:27">
      <c r="B176" s="100"/>
      <c r="C176" s="24"/>
      <c r="D176" s="24"/>
      <c r="E176" s="24"/>
      <c r="F176" s="135"/>
      <c r="G176" s="99"/>
      <c r="H176" s="15"/>
      <c r="I176" s="15"/>
      <c r="J176" s="15"/>
      <c r="K176" s="11"/>
      <c r="L176" s="11"/>
      <c r="M176" s="11"/>
      <c r="N176" s="11"/>
      <c r="O176" s="11"/>
      <c r="P176" s="11"/>
      <c r="Q176" s="11"/>
      <c r="R176" s="11"/>
      <c r="S176" s="11"/>
      <c r="T176" s="11"/>
      <c r="U176" s="11"/>
      <c r="V176" s="11"/>
      <c r="W176" s="11"/>
      <c r="X176" s="11"/>
      <c r="Y176" s="11"/>
      <c r="Z176" s="11"/>
      <c r="AA176" s="11"/>
    </row>
    <row r="177" spans="2:27">
      <c r="B177" s="100"/>
      <c r="C177" s="24" t="s">
        <v>254</v>
      </c>
      <c r="D177" s="410" t="s">
        <v>249</v>
      </c>
      <c r="E177" s="24"/>
      <c r="F177" s="373">
        <f>F172/F173</f>
        <v>2.6372402887049052E-2</v>
      </c>
      <c r="G177" s="99" t="s">
        <v>5</v>
      </c>
      <c r="H177" s="15"/>
      <c r="I177" s="15"/>
      <c r="J177" s="15"/>
      <c r="K177" s="11"/>
      <c r="L177" s="11"/>
      <c r="M177" s="11"/>
      <c r="N177" s="11"/>
      <c r="O177" s="11"/>
      <c r="P177" s="11"/>
      <c r="Q177" s="11"/>
      <c r="R177" s="11"/>
      <c r="S177" s="11"/>
      <c r="T177" s="11"/>
      <c r="U177" s="11"/>
      <c r="V177" s="11"/>
      <c r="W177" s="11"/>
      <c r="X177" s="11"/>
      <c r="Y177" s="11"/>
      <c r="Z177" s="11"/>
      <c r="AA177" s="11"/>
    </row>
    <row r="178" spans="2:27">
      <c r="B178" s="100"/>
      <c r="C178" s="24" t="s">
        <v>252</v>
      </c>
      <c r="D178" s="24"/>
      <c r="E178" s="24"/>
      <c r="F178" s="374">
        <f>1/F177</f>
        <v>37.918425722635973</v>
      </c>
      <c r="G178" s="99" t="s">
        <v>19</v>
      </c>
      <c r="H178" s="15"/>
      <c r="I178" s="15"/>
      <c r="J178" s="15"/>
      <c r="K178" s="11"/>
      <c r="L178" s="11"/>
      <c r="M178" s="11"/>
      <c r="N178" s="11"/>
      <c r="O178" s="11"/>
      <c r="P178" s="11"/>
      <c r="Q178" s="11"/>
      <c r="R178" s="11"/>
      <c r="S178" s="11"/>
      <c r="T178" s="11"/>
      <c r="U178" s="11"/>
      <c r="V178" s="11"/>
      <c r="W178" s="11"/>
      <c r="X178" s="11"/>
      <c r="Y178" s="11"/>
      <c r="Z178" s="11"/>
      <c r="AA178" s="11"/>
    </row>
    <row r="179" spans="2:27">
      <c r="B179" s="100"/>
      <c r="C179" s="24"/>
      <c r="D179" s="24"/>
      <c r="E179" s="24"/>
      <c r="F179" s="154"/>
      <c r="G179" s="99"/>
      <c r="H179" s="15"/>
      <c r="I179" s="15"/>
      <c r="J179" s="15"/>
      <c r="K179" s="11"/>
      <c r="L179" s="11"/>
      <c r="M179" s="11"/>
      <c r="N179" s="11"/>
      <c r="O179" s="11"/>
      <c r="P179" s="11"/>
      <c r="Q179" s="11"/>
      <c r="R179" s="11"/>
      <c r="S179" s="11"/>
      <c r="T179" s="11"/>
      <c r="U179" s="11"/>
      <c r="V179" s="11"/>
      <c r="W179" s="11"/>
      <c r="X179" s="11"/>
      <c r="Y179" s="11"/>
      <c r="Z179" s="11"/>
      <c r="AA179" s="11"/>
    </row>
    <row r="180" spans="2:27">
      <c r="B180" s="100"/>
      <c r="C180" s="110" t="s">
        <v>161</v>
      </c>
      <c r="D180" s="410" t="s">
        <v>517</v>
      </c>
      <c r="E180" s="151"/>
      <c r="F180" s="427">
        <v>32.9</v>
      </c>
      <c r="G180" s="99" t="s">
        <v>14</v>
      </c>
      <c r="H180" s="15"/>
      <c r="I180" s="15"/>
      <c r="J180" s="15"/>
      <c r="K180" s="11"/>
      <c r="L180" s="11"/>
      <c r="M180" s="11"/>
      <c r="N180" s="11"/>
      <c r="O180" s="11"/>
      <c r="P180" s="11"/>
      <c r="Q180" s="11"/>
      <c r="R180" s="11"/>
      <c r="S180" s="11"/>
      <c r="T180" s="11"/>
      <c r="U180" s="11"/>
      <c r="V180" s="11"/>
      <c r="W180" s="11"/>
      <c r="X180" s="11"/>
      <c r="Y180" s="11"/>
      <c r="Z180" s="11"/>
      <c r="AA180" s="11"/>
    </row>
    <row r="181" spans="2:27">
      <c r="B181" s="100"/>
      <c r="C181" s="110" t="s">
        <v>204</v>
      </c>
      <c r="D181" s="410" t="s">
        <v>517</v>
      </c>
      <c r="E181" s="151"/>
      <c r="F181" s="434">
        <v>533.9</v>
      </c>
      <c r="G181" s="99" t="s">
        <v>14</v>
      </c>
      <c r="H181" s="15"/>
      <c r="I181" s="15"/>
      <c r="J181" s="15"/>
      <c r="K181" s="11"/>
      <c r="L181" s="11"/>
      <c r="M181" s="11"/>
      <c r="N181" s="11"/>
      <c r="O181" s="11"/>
      <c r="P181" s="11"/>
      <c r="Q181" s="11"/>
      <c r="R181" s="11"/>
      <c r="S181" s="11"/>
      <c r="T181" s="11"/>
      <c r="U181" s="11"/>
      <c r="V181" s="11"/>
      <c r="W181" s="11"/>
      <c r="X181" s="11"/>
      <c r="Y181" s="11"/>
      <c r="Z181" s="11"/>
      <c r="AA181" s="11"/>
    </row>
    <row r="182" spans="2:27">
      <c r="B182" s="100"/>
      <c r="C182" s="24" t="s">
        <v>202</v>
      </c>
      <c r="D182" s="410" t="s">
        <v>517</v>
      </c>
      <c r="E182" s="151"/>
      <c r="F182" s="435">
        <f>191.284+88.253</f>
        <v>279.53699999999998</v>
      </c>
      <c r="G182" s="99" t="s">
        <v>14</v>
      </c>
      <c r="H182" s="15"/>
      <c r="I182" s="15"/>
      <c r="J182" s="15"/>
      <c r="K182" s="11"/>
      <c r="L182" s="11"/>
      <c r="M182" s="11"/>
      <c r="N182" s="11"/>
      <c r="O182" s="11"/>
      <c r="P182" s="11"/>
      <c r="Q182" s="11"/>
      <c r="R182" s="11"/>
      <c r="S182" s="11"/>
      <c r="T182" s="11"/>
      <c r="U182" s="11"/>
      <c r="V182" s="11"/>
      <c r="W182" s="11"/>
      <c r="X182" s="11"/>
      <c r="Y182" s="11"/>
      <c r="Z182" s="11"/>
      <c r="AA182" s="11"/>
    </row>
    <row r="183" spans="2:27">
      <c r="B183" s="100"/>
      <c r="C183" s="110" t="s">
        <v>203</v>
      </c>
      <c r="D183" s="410" t="s">
        <v>517</v>
      </c>
      <c r="E183" s="151"/>
      <c r="F183" s="365">
        <f>F181-F182</f>
        <v>254.363</v>
      </c>
      <c r="G183" s="99" t="s">
        <v>14</v>
      </c>
      <c r="H183" s="15"/>
      <c r="I183" s="15"/>
      <c r="J183" s="15"/>
      <c r="K183" s="11"/>
      <c r="L183" s="11"/>
      <c r="M183" s="11"/>
      <c r="N183" s="11"/>
      <c r="O183" s="11"/>
      <c r="P183" s="11"/>
      <c r="Q183" s="11"/>
      <c r="R183" s="11"/>
      <c r="S183" s="11"/>
      <c r="T183" s="11"/>
      <c r="U183" s="11"/>
      <c r="V183" s="11"/>
      <c r="W183" s="11"/>
      <c r="X183" s="11"/>
      <c r="Y183" s="11"/>
      <c r="Z183" s="11"/>
      <c r="AA183" s="11"/>
    </row>
    <row r="184" spans="2:27">
      <c r="B184" s="100"/>
      <c r="C184" s="74"/>
      <c r="D184" s="40"/>
      <c r="E184" s="151"/>
      <c r="F184" s="155"/>
      <c r="G184" s="99"/>
      <c r="H184" s="15"/>
      <c r="I184" s="15"/>
      <c r="J184" s="15"/>
      <c r="K184" s="11"/>
      <c r="L184" s="11"/>
      <c r="M184" s="11"/>
      <c r="N184" s="11"/>
      <c r="O184" s="11"/>
      <c r="P184" s="11"/>
      <c r="Q184" s="11"/>
      <c r="R184" s="11"/>
      <c r="S184" s="11"/>
      <c r="T184" s="11"/>
      <c r="U184" s="11"/>
      <c r="V184" s="11"/>
      <c r="W184" s="11"/>
      <c r="X184" s="11"/>
      <c r="Y184" s="11"/>
      <c r="Z184" s="11"/>
      <c r="AA184" s="11"/>
    </row>
    <row r="185" spans="2:27">
      <c r="B185" s="100"/>
      <c r="C185" s="24" t="s">
        <v>253</v>
      </c>
      <c r="D185" s="410" t="s">
        <v>249</v>
      </c>
      <c r="E185" s="151"/>
      <c r="F185" s="373">
        <f>F180/F181</f>
        <v>6.1622026596740966E-2</v>
      </c>
      <c r="G185" s="99" t="s">
        <v>5</v>
      </c>
      <c r="H185" s="15"/>
      <c r="I185" s="15"/>
      <c r="J185" s="15"/>
      <c r="K185" s="11"/>
      <c r="L185" s="11"/>
      <c r="M185" s="11"/>
      <c r="N185" s="11"/>
      <c r="O185" s="11"/>
      <c r="P185" s="11"/>
      <c r="Q185" s="11"/>
      <c r="R185" s="11"/>
      <c r="S185" s="11"/>
      <c r="T185" s="11"/>
      <c r="U185" s="11"/>
      <c r="V185" s="11"/>
      <c r="W185" s="11"/>
      <c r="X185" s="11"/>
      <c r="Y185" s="11"/>
      <c r="Z185" s="11"/>
      <c r="AA185" s="11"/>
    </row>
    <row r="186" spans="2:27">
      <c r="B186" s="100"/>
      <c r="C186" s="74"/>
      <c r="D186" s="40"/>
      <c r="E186" s="151"/>
      <c r="F186" s="155"/>
      <c r="G186" s="99"/>
      <c r="H186" s="15"/>
      <c r="I186" s="15"/>
      <c r="J186" s="15"/>
      <c r="K186" s="11"/>
      <c r="L186" s="11"/>
      <c r="M186" s="11"/>
      <c r="N186" s="11"/>
      <c r="O186" s="11"/>
      <c r="P186" s="11"/>
      <c r="Q186" s="11"/>
      <c r="R186" s="11"/>
      <c r="S186" s="11"/>
      <c r="T186" s="11"/>
      <c r="U186" s="11"/>
      <c r="V186" s="11"/>
      <c r="W186" s="11"/>
      <c r="X186" s="11"/>
      <c r="Y186" s="11"/>
      <c r="Z186" s="11"/>
      <c r="AA186" s="11"/>
    </row>
    <row r="187" spans="2:27">
      <c r="B187" s="100"/>
      <c r="C187" s="110" t="s">
        <v>218</v>
      </c>
      <c r="D187" s="410" t="s">
        <v>517</v>
      </c>
      <c r="E187" s="151"/>
      <c r="F187" s="413">
        <v>108.443</v>
      </c>
      <c r="G187" s="99" t="s">
        <v>14</v>
      </c>
      <c r="H187" s="15"/>
      <c r="I187" s="15"/>
      <c r="J187" s="15"/>
      <c r="K187" s="11"/>
      <c r="L187" s="11"/>
      <c r="M187" s="11"/>
      <c r="N187" s="11"/>
      <c r="O187" s="11"/>
      <c r="P187" s="11"/>
      <c r="Q187" s="11"/>
      <c r="R187" s="11"/>
      <c r="S187" s="11"/>
      <c r="T187" s="11"/>
      <c r="U187" s="11"/>
      <c r="V187" s="11"/>
      <c r="W187" s="11"/>
      <c r="X187" s="11"/>
      <c r="Y187" s="11"/>
      <c r="Z187" s="11"/>
      <c r="AA187" s="11"/>
    </row>
    <row r="188" spans="2:27">
      <c r="B188" s="100"/>
      <c r="C188" s="110" t="s">
        <v>169</v>
      </c>
      <c r="D188" s="410" t="s">
        <v>517</v>
      </c>
      <c r="E188" s="156"/>
      <c r="F188" s="413">
        <v>3559.5970000000002</v>
      </c>
      <c r="G188" s="99" t="s">
        <v>14</v>
      </c>
      <c r="H188" s="15"/>
      <c r="I188" s="15"/>
      <c r="J188" s="15"/>
      <c r="K188" s="11"/>
      <c r="L188" s="11"/>
      <c r="M188" s="11"/>
      <c r="N188" s="11"/>
      <c r="O188" s="11"/>
      <c r="P188" s="11"/>
      <c r="Q188" s="11"/>
      <c r="R188" s="11"/>
      <c r="S188" s="11"/>
      <c r="T188" s="11"/>
      <c r="U188" s="11"/>
      <c r="V188" s="11"/>
      <c r="W188" s="11"/>
      <c r="X188" s="11"/>
      <c r="Y188" s="11"/>
      <c r="Z188" s="11"/>
      <c r="AA188" s="11"/>
    </row>
    <row r="189" spans="2:27">
      <c r="B189" s="100"/>
      <c r="C189" s="74"/>
      <c r="D189" s="111"/>
      <c r="E189" s="156"/>
      <c r="F189" s="157"/>
      <c r="G189" s="99"/>
      <c r="H189" s="15"/>
      <c r="I189" s="15"/>
      <c r="J189" s="15"/>
      <c r="K189" s="11"/>
      <c r="L189" s="11"/>
      <c r="M189" s="11"/>
      <c r="N189" s="11"/>
      <c r="O189" s="11"/>
      <c r="P189" s="11"/>
      <c r="Q189" s="11"/>
      <c r="R189" s="11"/>
      <c r="S189" s="11"/>
      <c r="T189" s="11"/>
      <c r="U189" s="11"/>
      <c r="V189" s="11"/>
      <c r="W189" s="11"/>
      <c r="X189" s="11"/>
      <c r="Y189" s="11"/>
      <c r="Z189" s="11"/>
      <c r="AA189" s="11"/>
    </row>
    <row r="190" spans="2:27">
      <c r="B190" s="496" t="s">
        <v>185</v>
      </c>
      <c r="C190" s="497"/>
      <c r="D190" s="497"/>
      <c r="E190" s="497"/>
      <c r="F190" s="497"/>
      <c r="G190" s="498"/>
      <c r="H190" s="15"/>
      <c r="I190" s="15"/>
      <c r="J190" s="15"/>
      <c r="K190" s="11"/>
      <c r="L190" s="11"/>
      <c r="M190" s="11"/>
      <c r="N190" s="11"/>
      <c r="O190" s="11"/>
      <c r="P190" s="11"/>
      <c r="Q190" s="11"/>
      <c r="R190" s="11"/>
      <c r="S190" s="11"/>
      <c r="T190" s="11"/>
      <c r="U190" s="11"/>
      <c r="V190" s="11"/>
      <c r="W190" s="11"/>
      <c r="X190" s="11"/>
      <c r="Y190" s="11"/>
      <c r="Z190" s="11"/>
      <c r="AA190" s="11"/>
    </row>
    <row r="191" spans="2:27">
      <c r="B191" s="92"/>
      <c r="C191" s="58"/>
      <c r="D191" s="58"/>
      <c r="E191" s="58"/>
      <c r="F191" s="78"/>
      <c r="G191" s="101"/>
      <c r="H191" s="15"/>
      <c r="I191" s="15"/>
      <c r="J191" s="15"/>
      <c r="K191" s="11"/>
      <c r="L191" s="11"/>
      <c r="M191" s="11"/>
      <c r="N191" s="11"/>
      <c r="O191" s="11"/>
      <c r="P191" s="11"/>
      <c r="Q191" s="11"/>
      <c r="R191" s="11"/>
      <c r="S191" s="11"/>
      <c r="T191" s="11"/>
      <c r="U191" s="11"/>
      <c r="V191" s="11"/>
      <c r="W191" s="11"/>
      <c r="X191" s="11"/>
      <c r="Y191" s="11"/>
      <c r="Z191" s="11"/>
      <c r="AA191" s="11"/>
    </row>
    <row r="192" spans="2:27">
      <c r="B192" s="398" t="s">
        <v>60</v>
      </c>
      <c r="C192" s="402"/>
      <c r="D192" s="402"/>
      <c r="E192" s="402"/>
      <c r="F192" s="409"/>
      <c r="G192" s="404"/>
      <c r="H192" s="15"/>
      <c r="I192" s="15"/>
      <c r="J192" s="21"/>
      <c r="K192" s="11"/>
      <c r="L192" s="11"/>
      <c r="M192" s="11"/>
      <c r="N192" s="11"/>
      <c r="O192" s="11"/>
      <c r="P192" s="11"/>
      <c r="Q192" s="11"/>
      <c r="R192" s="11"/>
      <c r="S192" s="11"/>
      <c r="T192" s="11"/>
      <c r="U192" s="11"/>
      <c r="V192" s="11"/>
      <c r="W192" s="11"/>
      <c r="X192" s="11"/>
      <c r="Y192" s="11"/>
      <c r="Z192" s="11"/>
      <c r="AA192" s="11"/>
    </row>
    <row r="193" spans="2:27">
      <c r="B193" s="100"/>
      <c r="C193" s="24" t="s">
        <v>255</v>
      </c>
      <c r="D193" s="410" t="s">
        <v>517</v>
      </c>
      <c r="E193" s="151"/>
      <c r="F193" s="427">
        <v>2783.172</v>
      </c>
      <c r="G193" s="99" t="s">
        <v>14</v>
      </c>
      <c r="H193" s="15"/>
      <c r="I193" s="15"/>
      <c r="J193" s="15"/>
      <c r="K193" s="11"/>
      <c r="L193" s="11"/>
      <c r="M193" s="11"/>
      <c r="N193" s="11"/>
      <c r="O193" s="11"/>
      <c r="P193" s="11"/>
      <c r="Q193" s="11"/>
      <c r="R193" s="11"/>
      <c r="S193" s="11"/>
      <c r="T193" s="11"/>
      <c r="U193" s="11"/>
      <c r="V193" s="11"/>
      <c r="W193" s="11"/>
      <c r="X193" s="11"/>
      <c r="Y193" s="11"/>
      <c r="Z193" s="11"/>
      <c r="AA193" s="11"/>
    </row>
    <row r="194" spans="2:27">
      <c r="B194" s="100"/>
      <c r="C194" s="24" t="s">
        <v>256</v>
      </c>
      <c r="D194" s="410" t="s">
        <v>517</v>
      </c>
      <c r="E194" s="151"/>
      <c r="F194" s="434">
        <v>204.428</v>
      </c>
      <c r="G194" s="99" t="s">
        <v>14</v>
      </c>
      <c r="H194" s="15"/>
      <c r="I194" s="15"/>
      <c r="J194" s="15"/>
      <c r="K194" s="11"/>
      <c r="L194" s="11"/>
      <c r="M194" s="11"/>
      <c r="N194" s="11"/>
      <c r="O194" s="11"/>
      <c r="P194" s="11"/>
      <c r="Q194" s="11"/>
      <c r="R194" s="11"/>
      <c r="S194" s="11"/>
      <c r="T194" s="11"/>
      <c r="U194" s="11"/>
      <c r="V194" s="11"/>
      <c r="W194" s="11"/>
      <c r="X194" s="11"/>
      <c r="Y194" s="11"/>
      <c r="Z194" s="11"/>
      <c r="AA194" s="11"/>
    </row>
    <row r="195" spans="2:27">
      <c r="B195" s="100"/>
      <c r="C195" s="24" t="s">
        <v>258</v>
      </c>
      <c r="D195" s="410" t="s">
        <v>517</v>
      </c>
      <c r="E195" s="151"/>
      <c r="F195" s="434">
        <v>26.606000000000002</v>
      </c>
      <c r="G195" s="99" t="s">
        <v>14</v>
      </c>
      <c r="H195" s="15"/>
      <c r="I195" s="15"/>
      <c r="J195" s="15"/>
      <c r="K195" s="11"/>
      <c r="L195" s="11"/>
      <c r="M195" s="11"/>
      <c r="N195" s="11"/>
      <c r="O195" s="11"/>
      <c r="P195" s="11"/>
      <c r="Q195" s="11"/>
      <c r="R195" s="11"/>
      <c r="S195" s="11"/>
      <c r="T195" s="11"/>
      <c r="U195" s="11"/>
      <c r="V195" s="11"/>
      <c r="W195" s="11"/>
      <c r="X195" s="11"/>
      <c r="Y195" s="11"/>
      <c r="Z195" s="11"/>
      <c r="AA195" s="11"/>
    </row>
    <row r="196" spans="2:27">
      <c r="B196" s="100"/>
      <c r="C196" s="24" t="s">
        <v>260</v>
      </c>
      <c r="D196" s="410" t="s">
        <v>517</v>
      </c>
      <c r="E196" s="151"/>
      <c r="F196" s="434">
        <v>14.215999999999999</v>
      </c>
      <c r="G196" s="99" t="s">
        <v>14</v>
      </c>
      <c r="H196" s="15"/>
      <c r="I196" s="15"/>
      <c r="J196" s="15"/>
      <c r="K196" s="11"/>
      <c r="L196" s="11"/>
      <c r="M196" s="11"/>
      <c r="N196" s="11"/>
      <c r="O196" s="11"/>
      <c r="P196" s="11"/>
      <c r="Q196" s="11"/>
      <c r="R196" s="11"/>
      <c r="S196" s="11"/>
      <c r="T196" s="11"/>
      <c r="U196" s="11"/>
      <c r="V196" s="11"/>
      <c r="W196" s="11"/>
      <c r="X196" s="11"/>
      <c r="Y196" s="11"/>
      <c r="Z196" s="11"/>
      <c r="AA196" s="11"/>
    </row>
    <row r="197" spans="2:27">
      <c r="B197" s="100"/>
      <c r="C197" s="24" t="s">
        <v>257</v>
      </c>
      <c r="D197" s="410" t="s">
        <v>517</v>
      </c>
      <c r="E197" s="151"/>
      <c r="F197" s="435">
        <v>-357.17500000000001</v>
      </c>
      <c r="G197" s="99" t="s">
        <v>14</v>
      </c>
      <c r="H197" s="15"/>
      <c r="I197" s="15"/>
      <c r="J197" s="15"/>
      <c r="K197" s="11"/>
      <c r="L197" s="11"/>
      <c r="M197" s="11"/>
      <c r="N197" s="11"/>
      <c r="O197" s="11"/>
      <c r="P197" s="11"/>
      <c r="Q197" s="11"/>
      <c r="R197" s="11"/>
      <c r="S197" s="11"/>
      <c r="T197" s="11"/>
      <c r="U197" s="11"/>
      <c r="V197" s="11"/>
      <c r="W197" s="11"/>
      <c r="X197" s="11"/>
      <c r="Y197" s="11"/>
      <c r="Z197" s="11"/>
      <c r="AA197" s="11"/>
    </row>
    <row r="198" spans="2:27">
      <c r="B198" s="100"/>
      <c r="C198" s="110" t="s">
        <v>261</v>
      </c>
      <c r="D198" s="410" t="s">
        <v>517</v>
      </c>
      <c r="E198" s="151"/>
      <c r="F198" s="375">
        <f>SUM(F193:F197)</f>
        <v>2671.2469999999998</v>
      </c>
      <c r="G198" s="99" t="s">
        <v>14</v>
      </c>
      <c r="H198" s="15"/>
      <c r="I198" s="15"/>
      <c r="J198" s="15"/>
      <c r="K198" s="11"/>
      <c r="L198" s="11"/>
      <c r="M198" s="11"/>
      <c r="N198" s="11"/>
      <c r="O198" s="11"/>
      <c r="P198" s="11"/>
      <c r="Q198" s="11"/>
      <c r="R198" s="11"/>
      <c r="S198" s="11"/>
      <c r="T198" s="11"/>
      <c r="U198" s="11"/>
      <c r="V198" s="11"/>
      <c r="W198" s="11"/>
      <c r="X198" s="11"/>
      <c r="Y198" s="11"/>
      <c r="Z198" s="11"/>
      <c r="AA198" s="11"/>
    </row>
    <row r="199" spans="2:27">
      <c r="B199" s="100"/>
      <c r="C199" s="110"/>
      <c r="D199" s="111"/>
      <c r="E199" s="151"/>
      <c r="F199" s="53"/>
      <c r="G199" s="99"/>
      <c r="H199" s="15"/>
      <c r="I199" s="15"/>
      <c r="J199" s="15"/>
      <c r="K199" s="11"/>
      <c r="L199" s="11"/>
      <c r="M199" s="11"/>
      <c r="N199" s="11"/>
      <c r="O199" s="11"/>
      <c r="P199" s="11"/>
      <c r="Q199" s="11"/>
      <c r="R199" s="11"/>
      <c r="S199" s="11"/>
      <c r="T199" s="11"/>
      <c r="U199" s="11"/>
      <c r="V199" s="11"/>
      <c r="W199" s="11"/>
      <c r="X199" s="11"/>
      <c r="Y199" s="11"/>
      <c r="Z199" s="11"/>
      <c r="AA199" s="11"/>
    </row>
    <row r="200" spans="2:27">
      <c r="B200" s="100"/>
      <c r="C200" s="110" t="s">
        <v>262</v>
      </c>
      <c r="D200" s="40"/>
      <c r="E200" s="151"/>
      <c r="F200" s="376">
        <f>F194+F195+F197</f>
        <v>-126.14100000000002</v>
      </c>
      <c r="G200" s="99"/>
      <c r="H200" s="15"/>
      <c r="I200" s="15"/>
      <c r="J200" s="15"/>
      <c r="K200" s="11"/>
      <c r="L200" s="11"/>
      <c r="M200" s="11"/>
      <c r="N200" s="11"/>
      <c r="O200" s="11"/>
      <c r="P200" s="11"/>
      <c r="Q200" s="11"/>
      <c r="R200" s="11"/>
      <c r="S200" s="11"/>
      <c r="T200" s="11"/>
      <c r="U200" s="11"/>
      <c r="V200" s="11"/>
      <c r="W200" s="11"/>
      <c r="X200" s="11"/>
      <c r="Y200" s="11"/>
      <c r="Z200" s="11"/>
      <c r="AA200" s="11"/>
    </row>
    <row r="201" spans="2:27">
      <c r="B201" s="490" t="s">
        <v>225</v>
      </c>
      <c r="C201" s="491"/>
      <c r="D201" s="491"/>
      <c r="E201" s="491"/>
      <c r="F201" s="491"/>
      <c r="G201" s="492"/>
      <c r="H201" s="15"/>
      <c r="I201" s="15"/>
      <c r="J201" s="15"/>
      <c r="K201" s="11"/>
      <c r="L201" s="11"/>
      <c r="M201" s="11"/>
      <c r="N201" s="11"/>
      <c r="O201" s="11"/>
      <c r="P201" s="11"/>
      <c r="Q201" s="11"/>
      <c r="R201" s="11"/>
      <c r="S201" s="11"/>
      <c r="T201" s="11"/>
      <c r="U201" s="11"/>
      <c r="V201" s="11"/>
      <c r="W201" s="11"/>
      <c r="X201" s="11"/>
      <c r="Y201" s="11"/>
      <c r="Z201" s="11"/>
      <c r="AA201" s="11"/>
    </row>
    <row r="202" spans="2:27" ht="42" customHeight="1">
      <c r="B202" s="496" t="s">
        <v>158</v>
      </c>
      <c r="C202" s="497"/>
      <c r="D202" s="497"/>
      <c r="E202" s="497"/>
      <c r="F202" s="497"/>
      <c r="G202" s="498"/>
      <c r="H202" s="15"/>
      <c r="I202" s="15"/>
      <c r="J202" s="15"/>
      <c r="K202" s="11"/>
      <c r="L202" s="11"/>
      <c r="M202" s="11"/>
      <c r="N202" s="11"/>
      <c r="O202" s="11"/>
      <c r="P202" s="11"/>
      <c r="Q202" s="11"/>
      <c r="R202" s="11"/>
      <c r="S202" s="11"/>
      <c r="T202" s="11"/>
      <c r="U202" s="11"/>
      <c r="V202" s="11"/>
      <c r="W202" s="11"/>
      <c r="X202" s="11"/>
      <c r="Y202" s="11"/>
      <c r="Z202" s="11"/>
      <c r="AA202" s="11"/>
    </row>
    <row r="203" spans="2:27">
      <c r="B203" s="92"/>
      <c r="C203" s="58"/>
      <c r="D203" s="58"/>
      <c r="E203" s="58"/>
      <c r="F203" s="78"/>
      <c r="G203" s="101"/>
      <c r="H203" s="15"/>
      <c r="I203" s="15"/>
      <c r="J203" s="15"/>
      <c r="K203" s="11"/>
      <c r="L203" s="11"/>
      <c r="M203" s="11"/>
      <c r="N203" s="11"/>
      <c r="O203" s="11"/>
      <c r="P203" s="11"/>
      <c r="Q203" s="11"/>
      <c r="R203" s="11"/>
      <c r="S203" s="11"/>
      <c r="T203" s="11"/>
      <c r="U203" s="11"/>
      <c r="V203" s="11"/>
      <c r="W203" s="11"/>
      <c r="X203" s="11"/>
      <c r="Y203" s="11"/>
      <c r="Z203" s="11"/>
      <c r="AA203" s="11"/>
    </row>
    <row r="204" spans="2:27">
      <c r="B204" s="406" t="s">
        <v>108</v>
      </c>
      <c r="C204" s="402"/>
      <c r="D204" s="402"/>
      <c r="E204" s="402"/>
      <c r="F204" s="409"/>
      <c r="G204" s="404"/>
      <c r="H204" s="15"/>
      <c r="I204" s="15"/>
      <c r="J204" s="15"/>
      <c r="K204" s="11"/>
      <c r="L204" s="11"/>
      <c r="M204" s="11"/>
      <c r="N204" s="11"/>
      <c r="O204" s="11"/>
      <c r="P204" s="11"/>
      <c r="Q204" s="11"/>
      <c r="R204" s="11"/>
      <c r="S204" s="11"/>
      <c r="T204" s="11"/>
      <c r="U204" s="11"/>
      <c r="V204" s="11"/>
      <c r="W204" s="11"/>
      <c r="X204" s="11"/>
      <c r="Y204" s="11"/>
      <c r="Z204" s="11"/>
      <c r="AA204" s="11"/>
    </row>
    <row r="205" spans="2:27">
      <c r="B205" s="100"/>
      <c r="C205" s="24"/>
      <c r="D205" s="24"/>
      <c r="E205" s="24"/>
      <c r="F205" s="135"/>
      <c r="G205" s="99"/>
      <c r="H205" s="15"/>
      <c r="I205" s="15"/>
      <c r="J205" s="15"/>
      <c r="K205" s="11"/>
      <c r="L205" s="11"/>
      <c r="M205" s="11"/>
      <c r="N205" s="11"/>
      <c r="O205" s="11"/>
      <c r="P205" s="11"/>
      <c r="Q205" s="11"/>
      <c r="R205" s="11"/>
      <c r="S205" s="11"/>
      <c r="T205" s="11"/>
      <c r="U205" s="11"/>
      <c r="V205" s="11"/>
      <c r="W205" s="11"/>
      <c r="X205" s="11"/>
      <c r="Y205" s="11"/>
      <c r="Z205" s="11"/>
      <c r="AA205" s="11"/>
    </row>
    <row r="206" spans="2:27">
      <c r="B206" s="100"/>
      <c r="C206" s="110" t="s">
        <v>461</v>
      </c>
      <c r="D206" s="24"/>
      <c r="E206" s="24"/>
      <c r="F206" s="377">
        <v>10000</v>
      </c>
      <c r="G206" s="99" t="s">
        <v>6</v>
      </c>
      <c r="H206" s="15"/>
      <c r="I206" s="15"/>
      <c r="J206" s="15"/>
      <c r="K206" s="11"/>
      <c r="L206" s="11"/>
      <c r="M206" s="11"/>
      <c r="N206" s="11"/>
      <c r="O206" s="11"/>
      <c r="P206" s="11"/>
      <c r="Q206" s="11"/>
      <c r="R206" s="11"/>
      <c r="S206" s="11"/>
      <c r="T206" s="11"/>
      <c r="U206" s="11"/>
      <c r="V206" s="11"/>
      <c r="W206" s="11"/>
      <c r="X206" s="11"/>
      <c r="Y206" s="11"/>
      <c r="Z206" s="11"/>
      <c r="AA206" s="11"/>
    </row>
    <row r="207" spans="2:27">
      <c r="B207" s="100"/>
      <c r="C207" s="74"/>
      <c r="D207" s="24"/>
      <c r="E207" s="24"/>
      <c r="F207" s="135"/>
      <c r="G207" s="99"/>
      <c r="H207" s="15"/>
      <c r="I207" s="15"/>
      <c r="J207" s="15"/>
      <c r="K207" s="11"/>
      <c r="L207" s="11"/>
      <c r="M207" s="11"/>
      <c r="N207" s="11"/>
      <c r="O207" s="11"/>
      <c r="P207" s="11"/>
      <c r="Q207" s="11"/>
      <c r="R207" s="11"/>
      <c r="S207" s="11"/>
      <c r="T207" s="11"/>
      <c r="U207" s="11"/>
      <c r="V207" s="11"/>
      <c r="W207" s="11"/>
      <c r="X207" s="11"/>
      <c r="Y207" s="11"/>
      <c r="Z207" s="11"/>
      <c r="AA207" s="11"/>
    </row>
    <row r="208" spans="2:27">
      <c r="B208" s="100"/>
      <c r="C208" s="24" t="s">
        <v>526</v>
      </c>
      <c r="D208" s="410" t="s">
        <v>524</v>
      </c>
      <c r="E208" s="24"/>
      <c r="F208" s="413">
        <v>629.70000000000005</v>
      </c>
      <c r="G208" s="99" t="s">
        <v>14</v>
      </c>
      <c r="H208" s="15"/>
      <c r="I208" s="15"/>
      <c r="J208" s="15"/>
      <c r="K208" s="11"/>
      <c r="L208" s="11"/>
      <c r="M208" s="11"/>
      <c r="N208" s="11"/>
      <c r="O208" s="11"/>
      <c r="P208" s="11"/>
      <c r="Q208" s="11"/>
      <c r="R208" s="11"/>
      <c r="S208" s="11"/>
      <c r="T208" s="11"/>
      <c r="U208" s="11"/>
      <c r="V208" s="11"/>
      <c r="W208" s="11"/>
      <c r="X208" s="11"/>
      <c r="Y208" s="11"/>
      <c r="Z208" s="11"/>
      <c r="AA208" s="11"/>
    </row>
    <row r="209" spans="2:27">
      <c r="B209" s="100"/>
      <c r="C209" s="24" t="s">
        <v>479</v>
      </c>
      <c r="D209" s="410" t="s">
        <v>525</v>
      </c>
      <c r="E209" s="24"/>
      <c r="F209" s="413">
        <v>99.533000000000001</v>
      </c>
      <c r="G209" s="99" t="s">
        <v>140</v>
      </c>
      <c r="H209" s="15"/>
      <c r="I209" s="15"/>
      <c r="J209" s="15"/>
      <c r="K209" s="11"/>
      <c r="L209" s="11"/>
      <c r="M209" s="11"/>
      <c r="N209" s="11"/>
      <c r="O209" s="11"/>
      <c r="P209" s="11"/>
      <c r="Q209" s="11"/>
      <c r="R209" s="11"/>
      <c r="S209" s="11"/>
      <c r="T209" s="11"/>
      <c r="U209" s="11"/>
      <c r="V209" s="11"/>
      <c r="W209" s="11"/>
      <c r="X209" s="11"/>
      <c r="Y209" s="11"/>
      <c r="Z209" s="11"/>
      <c r="AA209" s="11"/>
    </row>
    <row r="210" spans="2:27">
      <c r="B210" s="100"/>
      <c r="C210" s="110" t="s">
        <v>460</v>
      </c>
      <c r="D210" s="410" t="s">
        <v>524</v>
      </c>
      <c r="E210" s="24"/>
      <c r="F210" s="377">
        <f>+F208/F209*1000</f>
        <v>6326.5449649864877</v>
      </c>
      <c r="G210" s="99" t="s">
        <v>6</v>
      </c>
      <c r="H210" s="15"/>
      <c r="I210" s="15"/>
      <c r="J210" s="15"/>
      <c r="K210" s="11"/>
      <c r="L210" s="11"/>
      <c r="M210" s="11"/>
      <c r="N210" s="11"/>
      <c r="O210" s="11"/>
      <c r="P210" s="11"/>
      <c r="Q210" s="11"/>
      <c r="R210" s="11"/>
      <c r="S210" s="11"/>
      <c r="T210" s="11"/>
      <c r="U210" s="11"/>
      <c r="V210" s="11"/>
      <c r="W210" s="11"/>
      <c r="X210" s="11"/>
      <c r="Y210" s="11"/>
      <c r="Z210" s="11"/>
      <c r="AA210" s="11"/>
    </row>
    <row r="211" spans="2:27">
      <c r="B211" s="100"/>
      <c r="C211" s="74"/>
      <c r="D211" s="111"/>
      <c r="E211" s="24"/>
      <c r="F211" s="135"/>
      <c r="G211" s="99"/>
      <c r="H211" s="15"/>
      <c r="I211" s="15"/>
      <c r="J211" s="15"/>
      <c r="K211" s="11"/>
      <c r="L211" s="11"/>
      <c r="M211" s="11"/>
      <c r="N211" s="11"/>
      <c r="O211" s="11"/>
      <c r="P211" s="11"/>
      <c r="Q211" s="11"/>
      <c r="R211" s="11"/>
      <c r="S211" s="11"/>
      <c r="T211" s="11"/>
      <c r="U211" s="11"/>
      <c r="V211" s="11"/>
      <c r="W211" s="11"/>
      <c r="X211" s="11"/>
      <c r="Y211" s="11"/>
      <c r="Z211" s="11"/>
      <c r="AA211" s="11"/>
    </row>
    <row r="212" spans="2:27" ht="27.5" customHeight="1">
      <c r="B212" s="493" t="s">
        <v>462</v>
      </c>
      <c r="C212" s="494"/>
      <c r="D212" s="494"/>
      <c r="E212" s="494"/>
      <c r="F212" s="494"/>
      <c r="G212" s="495"/>
      <c r="H212" s="15"/>
      <c r="I212" s="15"/>
      <c r="J212" s="15"/>
      <c r="K212" s="11"/>
      <c r="L212" s="11"/>
      <c r="M212" s="11"/>
      <c r="N212" s="11"/>
      <c r="O212" s="11"/>
      <c r="P212" s="11"/>
      <c r="Q212" s="11"/>
      <c r="R212" s="11"/>
      <c r="S212" s="11"/>
      <c r="T212" s="11"/>
      <c r="U212" s="11"/>
      <c r="V212" s="11"/>
      <c r="W212" s="11"/>
      <c r="X212" s="11"/>
      <c r="Y212" s="11"/>
      <c r="Z212" s="11"/>
      <c r="AA212" s="11"/>
    </row>
    <row r="213" spans="2:27" ht="27.5" customHeight="1">
      <c r="B213" s="493" t="s">
        <v>205</v>
      </c>
      <c r="C213" s="494"/>
      <c r="D213" s="494"/>
      <c r="E213" s="494"/>
      <c r="F213" s="494"/>
      <c r="G213" s="495"/>
      <c r="H213" s="15"/>
      <c r="I213" s="15"/>
      <c r="J213" s="15"/>
      <c r="K213" s="11"/>
      <c r="L213" s="11"/>
      <c r="M213" s="11"/>
      <c r="N213" s="11"/>
      <c r="O213" s="11"/>
      <c r="P213" s="11"/>
      <c r="Q213" s="11"/>
      <c r="R213" s="11"/>
      <c r="S213" s="11"/>
      <c r="T213" s="11"/>
      <c r="U213" s="11"/>
      <c r="V213" s="11"/>
      <c r="W213" s="11"/>
      <c r="X213" s="11"/>
      <c r="Y213" s="11"/>
      <c r="Z213" s="11"/>
      <c r="AA213" s="11"/>
    </row>
    <row r="214" spans="2:27" ht="14" customHeight="1">
      <c r="B214" s="493"/>
      <c r="C214" s="494"/>
      <c r="D214" s="494"/>
      <c r="E214" s="494"/>
      <c r="F214" s="494"/>
      <c r="G214" s="495"/>
      <c r="H214" s="15"/>
      <c r="I214" s="15"/>
      <c r="J214" s="15"/>
      <c r="K214" s="11"/>
      <c r="L214" s="11"/>
      <c r="M214" s="11"/>
      <c r="N214" s="11"/>
      <c r="O214" s="11"/>
      <c r="P214" s="11"/>
      <c r="Q214" s="11"/>
      <c r="R214" s="11"/>
      <c r="S214" s="11"/>
      <c r="T214" s="11"/>
      <c r="U214" s="11"/>
      <c r="V214" s="11"/>
      <c r="W214" s="11"/>
      <c r="X214" s="11"/>
      <c r="Y214" s="11"/>
      <c r="Z214" s="11"/>
      <c r="AA214" s="11"/>
    </row>
    <row r="215" spans="2:27">
      <c r="B215" s="326" t="s">
        <v>143</v>
      </c>
      <c r="C215" s="158"/>
      <c r="D215" s="114"/>
      <c r="E215" s="114"/>
      <c r="F215" s="135"/>
      <c r="G215" s="99"/>
      <c r="H215" s="15"/>
      <c r="I215" s="15"/>
      <c r="J215" s="15"/>
      <c r="K215" s="11"/>
      <c r="L215" s="11"/>
      <c r="M215" s="11"/>
      <c r="N215" s="11"/>
      <c r="O215" s="11"/>
      <c r="P215" s="11"/>
      <c r="Q215" s="11"/>
      <c r="R215" s="11"/>
      <c r="S215" s="11"/>
      <c r="T215" s="11"/>
      <c r="U215" s="11"/>
      <c r="V215" s="11"/>
      <c r="W215" s="11"/>
      <c r="X215" s="11"/>
      <c r="Y215" s="11"/>
      <c r="Z215" s="11"/>
      <c r="AA215" s="11"/>
    </row>
    <row r="216" spans="2:27">
      <c r="B216" s="499" t="s">
        <v>463</v>
      </c>
      <c r="C216" s="500"/>
      <c r="D216" s="500"/>
      <c r="E216" s="500"/>
      <c r="F216" s="500"/>
      <c r="G216" s="501"/>
      <c r="H216" s="15"/>
      <c r="I216" s="15"/>
      <c r="J216" s="15"/>
      <c r="K216" s="11"/>
      <c r="L216" s="11"/>
      <c r="M216" s="11"/>
      <c r="N216" s="11"/>
      <c r="O216" s="11"/>
      <c r="P216" s="11"/>
      <c r="Q216" s="11"/>
      <c r="R216" s="11"/>
      <c r="S216" s="11"/>
      <c r="T216" s="11"/>
      <c r="U216" s="11"/>
      <c r="V216" s="11"/>
      <c r="W216" s="11"/>
      <c r="X216" s="11"/>
      <c r="Y216" s="11"/>
      <c r="Z216" s="11"/>
      <c r="AA216" s="11"/>
    </row>
    <row r="217" spans="2:27">
      <c r="B217" s="92"/>
      <c r="C217" s="58"/>
      <c r="D217" s="58"/>
      <c r="E217" s="58"/>
      <c r="F217" s="132"/>
      <c r="G217" s="101"/>
      <c r="H217" s="15"/>
      <c r="I217" s="15"/>
      <c r="J217" s="15"/>
      <c r="K217" s="11"/>
      <c r="L217" s="11"/>
      <c r="M217" s="11"/>
      <c r="N217" s="11"/>
      <c r="O217" s="11"/>
      <c r="P217" s="11"/>
      <c r="Q217" s="11"/>
      <c r="R217" s="11"/>
      <c r="S217" s="11"/>
      <c r="T217" s="11"/>
      <c r="U217" s="11"/>
      <c r="V217" s="11"/>
      <c r="W217" s="11"/>
      <c r="X217" s="11"/>
      <c r="Y217" s="11"/>
      <c r="Z217" s="11"/>
      <c r="AA217" s="11"/>
    </row>
    <row r="218" spans="2:27">
      <c r="B218" s="406" t="s">
        <v>340</v>
      </c>
      <c r="C218" s="402"/>
      <c r="D218" s="402"/>
      <c r="E218" s="402"/>
      <c r="F218" s="409"/>
      <c r="G218" s="404"/>
      <c r="H218" s="15"/>
      <c r="I218" s="15"/>
      <c r="J218" s="15"/>
      <c r="K218" s="11"/>
      <c r="L218" s="11"/>
      <c r="M218" s="11"/>
      <c r="N218" s="11"/>
      <c r="O218" s="11"/>
      <c r="P218" s="11"/>
      <c r="Q218" s="11"/>
      <c r="R218" s="11"/>
      <c r="S218" s="11"/>
      <c r="T218" s="11"/>
      <c r="U218" s="11"/>
      <c r="V218" s="11"/>
      <c r="W218" s="11"/>
      <c r="X218" s="11"/>
      <c r="Y218" s="11"/>
      <c r="Z218" s="11"/>
      <c r="AA218" s="11"/>
    </row>
    <row r="219" spans="2:27">
      <c r="B219" s="100"/>
      <c r="C219" s="24" t="s">
        <v>206</v>
      </c>
      <c r="D219" s="410" t="s">
        <v>527</v>
      </c>
      <c r="E219" s="24"/>
      <c r="F219" s="413">
        <v>62</v>
      </c>
      <c r="G219" s="99" t="s">
        <v>16</v>
      </c>
      <c r="H219" s="15"/>
      <c r="I219" s="15"/>
      <c r="J219" s="15"/>
      <c r="K219" s="11"/>
      <c r="L219" s="11"/>
      <c r="M219" s="11"/>
      <c r="N219" s="11"/>
      <c r="O219" s="11"/>
      <c r="P219" s="11"/>
      <c r="Q219" s="11"/>
      <c r="R219" s="11"/>
      <c r="S219" s="11"/>
      <c r="T219" s="11"/>
      <c r="U219" s="11"/>
      <c r="V219" s="11"/>
      <c r="W219" s="11"/>
      <c r="X219" s="11"/>
      <c r="Y219" s="11"/>
      <c r="Z219" s="11"/>
      <c r="AA219" s="11"/>
    </row>
    <row r="220" spans="2:27">
      <c r="B220" s="100"/>
      <c r="C220" s="24" t="s">
        <v>207</v>
      </c>
      <c r="D220" s="410" t="s">
        <v>527</v>
      </c>
      <c r="E220" s="24"/>
      <c r="F220" s="413">
        <v>49</v>
      </c>
      <c r="G220" s="99" t="s">
        <v>16</v>
      </c>
      <c r="H220" s="15"/>
      <c r="I220" s="15"/>
      <c r="J220" s="15"/>
      <c r="K220" s="11"/>
      <c r="L220" s="11"/>
      <c r="M220" s="11"/>
      <c r="N220" s="11"/>
      <c r="O220" s="11"/>
      <c r="P220" s="11"/>
      <c r="Q220" s="11"/>
      <c r="R220" s="11"/>
      <c r="S220" s="11"/>
      <c r="T220" s="11"/>
      <c r="U220" s="11"/>
      <c r="V220" s="11"/>
      <c r="W220" s="11"/>
      <c r="X220" s="11"/>
      <c r="Y220" s="11"/>
      <c r="Z220" s="11"/>
      <c r="AA220" s="11"/>
    </row>
    <row r="221" spans="2:27">
      <c r="B221" s="100"/>
      <c r="C221" s="74" t="s">
        <v>36</v>
      </c>
      <c r="D221" s="24"/>
      <c r="E221" s="24"/>
      <c r="F221" s="378">
        <f>+F219-F220</f>
        <v>13</v>
      </c>
      <c r="G221" s="99" t="s">
        <v>16</v>
      </c>
      <c r="H221" s="15"/>
      <c r="I221" s="15"/>
      <c r="J221" s="15"/>
      <c r="K221" s="11"/>
      <c r="L221" s="11"/>
      <c r="M221" s="11"/>
      <c r="N221" s="11"/>
      <c r="O221" s="11"/>
      <c r="P221" s="11"/>
      <c r="Q221" s="11"/>
      <c r="R221" s="11"/>
      <c r="S221" s="11"/>
      <c r="T221" s="11"/>
      <c r="U221" s="11"/>
      <c r="V221" s="11"/>
      <c r="W221" s="11"/>
      <c r="X221" s="11"/>
      <c r="Y221" s="11"/>
      <c r="Z221" s="11"/>
      <c r="AA221" s="11"/>
    </row>
    <row r="222" spans="2:27">
      <c r="B222" s="100"/>
      <c r="C222" s="65"/>
      <c r="D222" s="65"/>
      <c r="E222" s="65"/>
      <c r="F222" s="65"/>
      <c r="G222" s="159"/>
      <c r="H222" s="15"/>
      <c r="I222" s="15"/>
      <c r="J222" s="15"/>
      <c r="K222" s="11"/>
      <c r="L222" s="11"/>
      <c r="M222" s="11"/>
      <c r="N222" s="11"/>
      <c r="O222" s="11"/>
      <c r="P222" s="11"/>
      <c r="Q222" s="11"/>
      <c r="R222" s="11"/>
      <c r="S222" s="11"/>
      <c r="T222" s="11"/>
      <c r="U222" s="11"/>
      <c r="V222" s="11"/>
      <c r="W222" s="11"/>
      <c r="X222" s="11"/>
      <c r="Y222" s="11"/>
      <c r="Z222" s="11"/>
      <c r="AA222" s="11"/>
    </row>
    <row r="223" spans="2:27">
      <c r="B223" s="499" t="s">
        <v>208</v>
      </c>
      <c r="C223" s="500"/>
      <c r="D223" s="500"/>
      <c r="E223" s="500"/>
      <c r="F223" s="500"/>
      <c r="G223" s="501"/>
      <c r="H223" s="15"/>
      <c r="I223" s="15"/>
      <c r="J223" s="15"/>
      <c r="K223" s="11"/>
      <c r="L223" s="11"/>
      <c r="M223" s="11"/>
      <c r="N223" s="11"/>
      <c r="O223" s="11"/>
      <c r="P223" s="11"/>
      <c r="Q223" s="11"/>
      <c r="R223" s="11"/>
      <c r="S223" s="11"/>
      <c r="T223" s="11"/>
      <c r="U223" s="11"/>
      <c r="V223" s="11"/>
      <c r="W223" s="11"/>
      <c r="X223" s="11"/>
      <c r="Y223" s="11"/>
      <c r="Z223" s="11"/>
      <c r="AA223" s="11"/>
    </row>
    <row r="224" spans="2:27" ht="28" customHeight="1">
      <c r="B224" s="487" t="s">
        <v>528</v>
      </c>
      <c r="C224" s="488"/>
      <c r="D224" s="488"/>
      <c r="E224" s="488"/>
      <c r="F224" s="488"/>
      <c r="G224" s="489"/>
      <c r="H224" s="15"/>
      <c r="I224" s="15"/>
      <c r="J224" s="15"/>
      <c r="K224" s="11"/>
      <c r="L224" s="11"/>
      <c r="M224" s="11"/>
      <c r="N224" s="11"/>
      <c r="O224" s="11"/>
      <c r="P224" s="11"/>
      <c r="Q224" s="11"/>
      <c r="R224" s="11"/>
      <c r="S224" s="11"/>
      <c r="T224" s="11"/>
      <c r="U224" s="11"/>
      <c r="V224" s="11"/>
      <c r="W224" s="11"/>
      <c r="X224" s="11"/>
      <c r="Y224" s="11"/>
      <c r="Z224" s="11"/>
      <c r="AA224" s="11"/>
    </row>
    <row r="225" spans="2:27" ht="2.5" customHeight="1">
      <c r="B225" s="15"/>
      <c r="C225" s="15"/>
      <c r="D225" s="15"/>
      <c r="E225" s="15"/>
      <c r="F225" s="16"/>
      <c r="G225" s="17"/>
      <c r="H225" s="15"/>
      <c r="I225" s="15"/>
      <c r="J225" s="15"/>
      <c r="K225" s="11"/>
      <c r="L225" s="11"/>
      <c r="M225" s="11"/>
      <c r="N225" s="11"/>
      <c r="O225" s="11"/>
      <c r="P225" s="11"/>
      <c r="Q225" s="11"/>
      <c r="R225" s="11"/>
      <c r="S225" s="11"/>
      <c r="T225" s="11"/>
      <c r="U225" s="11"/>
      <c r="V225" s="11"/>
      <c r="W225" s="11"/>
      <c r="X225" s="11"/>
      <c r="Y225" s="11"/>
      <c r="Z225" s="11"/>
      <c r="AA225" s="11"/>
    </row>
    <row r="226" spans="2:27" hidden="1">
      <c r="B226" s="15"/>
      <c r="C226" s="15"/>
      <c r="D226" s="15"/>
      <c r="E226" s="15"/>
      <c r="F226" s="16"/>
      <c r="G226" s="17"/>
      <c r="H226" s="15"/>
      <c r="I226" s="15"/>
      <c r="J226" s="15"/>
      <c r="K226" s="11"/>
      <c r="L226" s="11"/>
      <c r="M226" s="11"/>
      <c r="N226" s="11"/>
      <c r="O226" s="11"/>
      <c r="P226" s="11"/>
      <c r="Q226" s="11"/>
      <c r="R226" s="11"/>
      <c r="S226" s="11"/>
      <c r="T226" s="11"/>
      <c r="U226" s="11"/>
      <c r="V226" s="11"/>
      <c r="W226" s="11"/>
      <c r="X226" s="11"/>
      <c r="Y226" s="11"/>
      <c r="Z226" s="11"/>
      <c r="AA226" s="11"/>
    </row>
    <row r="227" spans="2:27" hidden="1">
      <c r="B227" s="15"/>
      <c r="C227" s="15"/>
      <c r="D227" s="15"/>
      <c r="E227" s="15"/>
      <c r="F227" s="16"/>
      <c r="G227" s="17"/>
      <c r="H227" s="15"/>
      <c r="I227" s="15"/>
      <c r="J227" s="15"/>
      <c r="K227" s="11"/>
      <c r="L227" s="11"/>
      <c r="M227" s="11"/>
      <c r="N227" s="11"/>
      <c r="O227" s="11"/>
      <c r="P227" s="11"/>
      <c r="Q227" s="11"/>
      <c r="R227" s="11"/>
      <c r="S227" s="11"/>
      <c r="T227" s="11"/>
      <c r="U227" s="11"/>
      <c r="V227" s="11"/>
      <c r="W227" s="11"/>
      <c r="X227" s="11"/>
      <c r="Y227" s="11"/>
      <c r="Z227" s="11"/>
      <c r="AA227" s="11"/>
    </row>
    <row r="228" spans="2:27" hidden="1">
      <c r="B228" s="15"/>
      <c r="C228" s="15"/>
      <c r="D228" s="15"/>
      <c r="E228" s="15"/>
      <c r="F228" s="16"/>
      <c r="G228" s="17"/>
      <c r="H228" s="15"/>
      <c r="I228" s="15"/>
      <c r="J228" s="15"/>
      <c r="K228" s="11"/>
      <c r="L228" s="11"/>
      <c r="M228" s="11"/>
      <c r="N228" s="11"/>
      <c r="O228" s="11"/>
      <c r="P228" s="11"/>
      <c r="Q228" s="11"/>
      <c r="R228" s="11"/>
      <c r="S228" s="11"/>
      <c r="T228" s="11"/>
      <c r="U228" s="11"/>
      <c r="V228" s="11"/>
      <c r="W228" s="11"/>
      <c r="X228" s="11"/>
      <c r="Y228" s="11"/>
      <c r="Z228" s="11"/>
      <c r="AA228" s="11"/>
    </row>
    <row r="229" spans="2:27" hidden="1">
      <c r="B229" s="15"/>
      <c r="C229" s="15"/>
      <c r="D229" s="15"/>
      <c r="E229" s="15"/>
      <c r="F229" s="16"/>
      <c r="G229" s="17"/>
      <c r="H229" s="15"/>
      <c r="I229" s="15"/>
      <c r="J229" s="15"/>
      <c r="K229" s="11"/>
      <c r="L229" s="11"/>
      <c r="M229" s="11"/>
      <c r="N229" s="11"/>
      <c r="O229" s="11"/>
      <c r="P229" s="11"/>
      <c r="Q229" s="11"/>
      <c r="R229" s="11"/>
      <c r="S229" s="11"/>
      <c r="T229" s="11"/>
      <c r="U229" s="11"/>
      <c r="V229" s="11"/>
      <c r="W229" s="11"/>
      <c r="X229" s="11"/>
      <c r="Y229" s="11"/>
      <c r="Z229" s="11"/>
      <c r="AA229" s="11"/>
    </row>
    <row r="230" spans="2:27" hidden="1">
      <c r="B230" s="15"/>
      <c r="C230" s="15"/>
      <c r="D230" s="15"/>
      <c r="E230" s="15"/>
      <c r="F230" s="16"/>
      <c r="G230" s="17"/>
      <c r="H230" s="15"/>
      <c r="I230" s="15"/>
      <c r="J230" s="15"/>
      <c r="K230" s="11"/>
      <c r="L230" s="11"/>
      <c r="M230" s="11"/>
      <c r="N230" s="11"/>
      <c r="O230" s="11"/>
      <c r="P230" s="11"/>
      <c r="Q230" s="11"/>
      <c r="R230" s="11"/>
      <c r="S230" s="11"/>
      <c r="T230" s="11"/>
      <c r="U230" s="11"/>
      <c r="V230" s="11"/>
      <c r="W230" s="11"/>
      <c r="X230" s="11"/>
      <c r="Y230" s="11"/>
      <c r="Z230" s="11"/>
      <c r="AA230" s="11"/>
    </row>
    <row r="231" spans="2:27" ht="14" hidden="1" customHeight="1">
      <c r="B231" s="15"/>
      <c r="C231" s="15"/>
      <c r="D231" s="15"/>
      <c r="E231" s="15"/>
      <c r="F231" s="16"/>
      <c r="G231" s="17"/>
      <c r="H231" s="15"/>
      <c r="I231" s="15"/>
      <c r="J231" s="15"/>
      <c r="K231" s="11"/>
      <c r="L231" s="11"/>
      <c r="M231" s="11"/>
      <c r="N231" s="11"/>
      <c r="O231" s="11"/>
      <c r="P231" s="11"/>
      <c r="Q231" s="11"/>
      <c r="R231" s="11"/>
      <c r="S231" s="11"/>
      <c r="T231" s="11"/>
      <c r="U231" s="11"/>
      <c r="V231" s="11"/>
      <c r="W231" s="11"/>
      <c r="X231" s="11"/>
      <c r="Y231" s="11"/>
      <c r="Z231" s="11"/>
      <c r="AA231" s="11"/>
    </row>
    <row r="232" spans="2:27" ht="14" hidden="1" customHeight="1">
      <c r="B232" s="15"/>
      <c r="C232" s="15"/>
      <c r="D232" s="15"/>
      <c r="E232" s="15"/>
      <c r="F232" s="16"/>
      <c r="G232" s="17"/>
      <c r="H232" s="15"/>
      <c r="I232" s="15"/>
      <c r="J232" s="15"/>
      <c r="K232" s="11"/>
      <c r="L232" s="11"/>
      <c r="M232" s="11"/>
      <c r="N232" s="11"/>
      <c r="O232" s="11"/>
      <c r="P232" s="11"/>
      <c r="Q232" s="11"/>
      <c r="R232" s="11"/>
      <c r="S232" s="11"/>
      <c r="T232" s="11"/>
      <c r="U232" s="11"/>
      <c r="V232" s="11"/>
      <c r="W232" s="11"/>
      <c r="X232" s="11"/>
      <c r="Y232" s="11"/>
      <c r="Z232" s="11"/>
      <c r="AA232" s="11"/>
    </row>
    <row r="233" spans="2:27" ht="14" hidden="1" customHeight="1">
      <c r="B233" s="15"/>
      <c r="C233" s="15"/>
      <c r="D233" s="15"/>
      <c r="E233" s="15"/>
      <c r="F233" s="16"/>
      <c r="G233" s="17"/>
      <c r="H233" s="15"/>
      <c r="I233" s="15"/>
      <c r="J233" s="15"/>
      <c r="K233" s="11"/>
      <c r="L233" s="11"/>
      <c r="M233" s="11"/>
      <c r="N233" s="11"/>
      <c r="O233" s="11"/>
      <c r="P233" s="11"/>
      <c r="Q233" s="11"/>
      <c r="R233" s="11"/>
      <c r="S233" s="11"/>
      <c r="T233" s="11"/>
      <c r="U233" s="11"/>
      <c r="V233" s="11"/>
      <c r="W233" s="11"/>
      <c r="X233" s="11"/>
      <c r="Y233" s="11"/>
      <c r="Z233" s="11"/>
      <c r="AA233" s="11"/>
    </row>
    <row r="234" spans="2:27" ht="14" hidden="1" customHeight="1">
      <c r="B234" s="15"/>
      <c r="C234" s="15"/>
      <c r="D234" s="15"/>
      <c r="E234" s="15"/>
      <c r="F234" s="16"/>
      <c r="G234" s="17"/>
      <c r="H234" s="15"/>
      <c r="I234" s="15"/>
      <c r="J234" s="15"/>
      <c r="K234" s="11"/>
      <c r="L234" s="11"/>
      <c r="M234" s="11"/>
      <c r="N234" s="11"/>
      <c r="O234" s="11"/>
      <c r="P234" s="11"/>
      <c r="Q234" s="11"/>
      <c r="R234" s="11"/>
      <c r="S234" s="11"/>
      <c r="T234" s="11"/>
      <c r="U234" s="11"/>
      <c r="V234" s="11"/>
      <c r="W234" s="11"/>
      <c r="X234" s="11"/>
      <c r="Y234" s="11"/>
      <c r="Z234" s="11"/>
      <c r="AA234" s="11"/>
    </row>
    <row r="235" spans="2:27" ht="14" hidden="1" customHeight="1">
      <c r="B235" s="86"/>
      <c r="C235" s="86"/>
      <c r="D235" s="86"/>
      <c r="E235" s="86"/>
      <c r="F235" s="87"/>
      <c r="G235" s="88"/>
      <c r="H235" s="86"/>
      <c r="I235" s="15"/>
      <c r="J235" s="15"/>
      <c r="K235" s="11"/>
      <c r="L235" s="11"/>
      <c r="M235" s="11"/>
      <c r="N235" s="11"/>
      <c r="O235" s="11"/>
      <c r="P235" s="11"/>
      <c r="Q235" s="11"/>
      <c r="R235" s="11"/>
      <c r="S235" s="11"/>
      <c r="T235" s="11"/>
      <c r="U235" s="11"/>
      <c r="V235" s="11"/>
      <c r="W235" s="11"/>
      <c r="X235" s="11"/>
      <c r="Y235" s="11"/>
      <c r="Z235" s="11"/>
      <c r="AA235" s="11"/>
    </row>
    <row r="236" spans="2:27" ht="14" hidden="1" customHeight="1">
      <c r="B236" s="24"/>
      <c r="C236" s="24"/>
      <c r="D236" s="24"/>
      <c r="E236" s="24"/>
      <c r="F236" s="22"/>
      <c r="G236" s="23"/>
      <c r="H236" s="24"/>
      <c r="I236" s="15"/>
      <c r="J236" s="15"/>
      <c r="K236" s="11"/>
      <c r="L236" s="11"/>
      <c r="M236" s="11"/>
      <c r="N236" s="11"/>
      <c r="O236" s="11"/>
      <c r="P236" s="11"/>
      <c r="Q236" s="11"/>
      <c r="R236" s="11"/>
      <c r="S236" s="11"/>
      <c r="T236" s="11"/>
      <c r="U236" s="11"/>
      <c r="V236" s="11"/>
      <c r="W236" s="11"/>
      <c r="X236" s="11"/>
      <c r="Y236" s="11"/>
      <c r="Z236" s="11"/>
      <c r="AA236" s="11"/>
    </row>
    <row r="237" spans="2:27" ht="14" hidden="1" customHeight="1">
      <c r="B237" s="24"/>
      <c r="C237" s="24"/>
      <c r="D237" s="24"/>
      <c r="E237" s="24"/>
      <c r="F237" s="22"/>
      <c r="G237" s="23"/>
      <c r="H237" s="24"/>
      <c r="I237" s="15"/>
      <c r="J237" s="15"/>
      <c r="K237" s="11"/>
      <c r="L237" s="11"/>
      <c r="M237" s="11"/>
      <c r="N237" s="11"/>
      <c r="O237" s="11"/>
      <c r="P237" s="11"/>
      <c r="Q237" s="11"/>
      <c r="R237" s="11"/>
      <c r="S237" s="11"/>
      <c r="T237" s="11"/>
      <c r="U237" s="11"/>
      <c r="V237" s="11"/>
      <c r="W237" s="11"/>
      <c r="X237" s="11"/>
      <c r="Y237" s="11"/>
      <c r="Z237" s="11"/>
      <c r="AA237" s="11"/>
    </row>
    <row r="238" spans="2:27" ht="14" hidden="1" customHeight="1">
      <c r="B238" s="24"/>
      <c r="C238" s="24"/>
      <c r="D238" s="24"/>
      <c r="E238" s="24"/>
      <c r="F238" s="22"/>
      <c r="G238" s="23"/>
      <c r="H238" s="24"/>
      <c r="I238" s="15"/>
      <c r="J238" s="15"/>
      <c r="K238" s="11"/>
      <c r="L238" s="11"/>
      <c r="M238" s="11"/>
      <c r="N238" s="11"/>
      <c r="O238" s="11"/>
      <c r="P238" s="11"/>
      <c r="Q238" s="11"/>
      <c r="R238" s="11"/>
      <c r="S238" s="11"/>
      <c r="T238" s="11"/>
      <c r="U238" s="11"/>
      <c r="V238" s="11"/>
      <c r="W238" s="11"/>
      <c r="X238" s="11"/>
      <c r="Y238" s="11"/>
      <c r="Z238" s="11"/>
      <c r="AA238" s="11"/>
    </row>
    <row r="239" spans="2:27" ht="14" hidden="1" customHeight="1">
      <c r="B239" s="24"/>
      <c r="C239" s="24"/>
      <c r="D239" s="24"/>
      <c r="E239" s="24"/>
      <c r="F239" s="22"/>
      <c r="G239" s="23"/>
      <c r="H239" s="24"/>
      <c r="I239" s="15"/>
      <c r="J239" s="15"/>
      <c r="K239" s="11"/>
      <c r="L239" s="11"/>
      <c r="M239" s="11"/>
      <c r="N239" s="11"/>
      <c r="O239" s="11"/>
      <c r="P239" s="11"/>
      <c r="Q239" s="11"/>
      <c r="R239" s="11"/>
      <c r="S239" s="11"/>
      <c r="T239" s="11"/>
      <c r="U239" s="11"/>
      <c r="V239" s="11"/>
      <c r="W239" s="11"/>
      <c r="X239" s="11"/>
      <c r="Y239" s="11"/>
      <c r="Z239" s="11"/>
      <c r="AA239" s="11"/>
    </row>
    <row r="240" spans="2:27" ht="14" hidden="1" customHeight="1">
      <c r="B240" s="24"/>
      <c r="C240" s="24"/>
      <c r="D240" s="24"/>
      <c r="E240" s="24"/>
      <c r="F240" s="22"/>
      <c r="G240" s="23"/>
      <c r="H240" s="24"/>
      <c r="I240" s="15"/>
      <c r="J240" s="15"/>
      <c r="K240" s="11"/>
      <c r="L240" s="11"/>
      <c r="M240" s="11"/>
      <c r="N240" s="11"/>
      <c r="O240" s="11"/>
      <c r="P240" s="11"/>
      <c r="Q240" s="11"/>
      <c r="R240" s="11"/>
      <c r="S240" s="11"/>
      <c r="T240" s="11"/>
      <c r="U240" s="11"/>
      <c r="V240" s="11"/>
      <c r="W240" s="11"/>
      <c r="X240" s="11"/>
      <c r="Y240" s="11"/>
      <c r="Z240" s="11"/>
      <c r="AA240" s="11"/>
    </row>
    <row r="241" ht="14" customHeight="1"/>
  </sheetData>
  <sheetProtection algorithmName="SHA-512" hashValue="NHkrW9TugGC3uczUe7dEXsU0tUMEVL4ERHjVq3BjEMpQZWW/EgAFlKfde/fR5kfSKHlS2TKLC1IF8kr0YzLrhg==" saltValue="4ysfdZghBRH1M0mPQprGEQ==" spinCount="100000" sheet="1" objects="1" scenarios="1"/>
  <mergeCells count="24">
    <mergeCell ref="E21:F21"/>
    <mergeCell ref="B43:G43"/>
    <mergeCell ref="B83:G83"/>
    <mergeCell ref="C15:C20"/>
    <mergeCell ref="B223:G223"/>
    <mergeCell ref="B152:G152"/>
    <mergeCell ref="B213:G213"/>
    <mergeCell ref="B214:G214"/>
    <mergeCell ref="B44:G44"/>
    <mergeCell ref="B82:G82"/>
    <mergeCell ref="B224:G224"/>
    <mergeCell ref="B90:G90"/>
    <mergeCell ref="B110:G110"/>
    <mergeCell ref="B123:G123"/>
    <mergeCell ref="B124:G124"/>
    <mergeCell ref="B212:G212"/>
    <mergeCell ref="B202:G202"/>
    <mergeCell ref="B201:G201"/>
    <mergeCell ref="B168:G168"/>
    <mergeCell ref="B153:G153"/>
    <mergeCell ref="B190:G190"/>
    <mergeCell ref="B216:G216"/>
    <mergeCell ref="B125:G125"/>
    <mergeCell ref="B169:G169"/>
  </mergeCells>
  <printOptions horizontalCentered="1"/>
  <pageMargins left="0.7" right="0.7" top="0.37" bottom="0.2" header="0.3" footer="0.17"/>
  <pageSetup paperSize="9" scale="41" fitToHeight="2" orientation="portrait" r:id="rId1"/>
  <headerFooter>
    <oddFooter>&amp;C&amp;K0303FE&amp;10&amp;"Calibri"Classification: Internal</oddFooter>
  </headerFooter>
  <rowBreaks count="1" manualBreakCount="1">
    <brk id="126" max="16383" man="1"/>
  </rowBreaks>
  <ignoredErrors>
    <ignoredError sqref="F146:F1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91"/>
  <sheetViews>
    <sheetView showGridLines="0" zoomScale="90" zoomScaleNormal="90" workbookViewId="0"/>
  </sheetViews>
  <sheetFormatPr defaultColWidth="0" defaultRowHeight="12.75" customHeight="1" zeroHeight="1"/>
  <cols>
    <col min="1" max="1" width="0.5" customWidth="1"/>
    <col min="2" max="2" width="9.09765625" style="15" customWidth="1"/>
    <col min="3" max="3" width="55.8984375" style="15" bestFit="1" customWidth="1"/>
    <col min="4" max="4" width="63.09765625" style="304" customWidth="1"/>
    <col min="5" max="5" width="11.3984375" style="17" customWidth="1"/>
    <col min="6" max="6" width="17.8984375" style="15" bestFit="1" customWidth="1"/>
    <col min="7" max="7" width="19" hidden="1" customWidth="1"/>
    <col min="8" max="9" width="9.09765625" hidden="1" customWidth="1"/>
    <col min="10" max="12" width="10.3984375" hidden="1" customWidth="1"/>
    <col min="13" max="16382" width="9.09765625" hidden="1"/>
    <col min="16383" max="16383" width="0.59765625" customWidth="1"/>
    <col min="16384" max="16384" width="3" hidden="1" customWidth="1"/>
  </cols>
  <sheetData>
    <row r="1" spans="1:6" ht="2.5" customHeight="1">
      <c r="A1" s="15"/>
    </row>
    <row r="2" spans="1:6" s="193" customFormat="1" ht="17" customHeight="1">
      <c r="B2" s="194"/>
      <c r="C2" s="195"/>
      <c r="D2" s="305"/>
      <c r="E2" s="196"/>
      <c r="F2" s="325"/>
    </row>
    <row r="3" spans="1:6" s="1" customFormat="1" ht="17" customHeight="1">
      <c r="A3" s="193"/>
      <c r="B3" s="197"/>
      <c r="C3" s="198"/>
      <c r="D3" s="306"/>
      <c r="E3" s="199"/>
      <c r="F3" s="200"/>
    </row>
    <row r="4" spans="1:6" s="1" customFormat="1" ht="17" customHeight="1">
      <c r="A4" s="193"/>
      <c r="B4" s="397" t="s">
        <v>227</v>
      </c>
      <c r="C4" s="198"/>
      <c r="D4" s="306"/>
      <c r="E4" s="199"/>
      <c r="F4" s="200"/>
    </row>
    <row r="5" spans="1:6" s="1" customFormat="1" ht="17" customHeight="1">
      <c r="A5" s="193"/>
      <c r="B5" s="397" t="s">
        <v>263</v>
      </c>
      <c r="C5" s="198"/>
      <c r="D5" s="306"/>
      <c r="E5" s="199"/>
      <c r="F5" s="200"/>
    </row>
    <row r="6" spans="1:6" s="1" customFormat="1" ht="14" customHeight="1">
      <c r="A6" s="193"/>
      <c r="B6" s="94"/>
      <c r="C6" s="198"/>
      <c r="D6" s="306"/>
      <c r="E6" s="199"/>
      <c r="F6" s="200"/>
    </row>
    <row r="7" spans="1:6" ht="26.5" customHeight="1">
      <c r="A7" s="15"/>
      <c r="B7" s="318" t="s">
        <v>209</v>
      </c>
      <c r="C7" s="319"/>
      <c r="D7" s="319"/>
      <c r="E7" s="319"/>
      <c r="F7" s="320"/>
    </row>
    <row r="8" spans="1:6" ht="12.75" customHeight="1">
      <c r="A8" s="15"/>
      <c r="B8" s="92"/>
      <c r="C8" s="58"/>
      <c r="D8" s="307"/>
      <c r="E8" s="81"/>
      <c r="F8" s="161"/>
    </row>
    <row r="9" spans="1:6" ht="14">
      <c r="A9" s="15"/>
      <c r="B9" s="406" t="s">
        <v>51</v>
      </c>
      <c r="C9" s="402"/>
      <c r="D9" s="436"/>
      <c r="E9" s="437"/>
      <c r="F9" s="404"/>
    </row>
    <row r="10" spans="1:6" ht="12.75" customHeight="1">
      <c r="A10" s="15"/>
      <c r="B10" s="92"/>
      <c r="C10" s="58"/>
      <c r="D10" s="307"/>
      <c r="E10" s="81"/>
      <c r="F10" s="161" t="s">
        <v>267</v>
      </c>
    </row>
    <row r="11" spans="1:6" ht="14">
      <c r="A11" s="15"/>
      <c r="B11" s="92"/>
      <c r="C11" s="56" t="s">
        <v>264</v>
      </c>
      <c r="D11" s="308" t="s">
        <v>268</v>
      </c>
      <c r="E11" s="57" t="s">
        <v>265</v>
      </c>
      <c r="F11" s="439" t="s">
        <v>297</v>
      </c>
    </row>
    <row r="12" spans="1:6" ht="14">
      <c r="A12" s="15"/>
      <c r="B12" s="92"/>
      <c r="C12" s="55"/>
      <c r="D12" s="307"/>
      <c r="E12" s="81"/>
      <c r="F12" s="97"/>
    </row>
    <row r="13" spans="1:6" ht="14">
      <c r="A13" s="15"/>
      <c r="B13" s="162"/>
      <c r="C13" s="58" t="s">
        <v>24</v>
      </c>
      <c r="D13" s="438" t="s">
        <v>483</v>
      </c>
      <c r="E13" s="81"/>
      <c r="F13" s="382">
        <f>F53</f>
        <v>1307.957345570172</v>
      </c>
    </row>
    <row r="14" spans="1:6" ht="14">
      <c r="A14" s="15"/>
      <c r="B14" s="92"/>
      <c r="C14" s="58" t="s">
        <v>25</v>
      </c>
      <c r="D14" s="438" t="s">
        <v>81</v>
      </c>
      <c r="E14" s="81"/>
      <c r="F14" s="382">
        <f>F63</f>
        <v>1165.9572880141202</v>
      </c>
    </row>
    <row r="15" spans="1:6" ht="14">
      <c r="A15" s="15"/>
      <c r="B15" s="92"/>
      <c r="C15" s="58" t="s">
        <v>212</v>
      </c>
      <c r="D15" s="438" t="s">
        <v>81</v>
      </c>
      <c r="E15" s="81"/>
      <c r="F15" s="382">
        <f>F73</f>
        <v>83.88</v>
      </c>
    </row>
    <row r="16" spans="1:6" ht="14">
      <c r="A16" s="15"/>
      <c r="B16" s="92"/>
      <c r="C16" s="85" t="s">
        <v>48</v>
      </c>
      <c r="D16" s="309"/>
      <c r="E16" s="75" t="s">
        <v>35</v>
      </c>
      <c r="F16" s="383">
        <f>SUM(F13:F15)</f>
        <v>2557.7946335842926</v>
      </c>
    </row>
    <row r="17" spans="1:6" ht="14">
      <c r="A17" s="15"/>
      <c r="B17" s="92"/>
      <c r="C17" s="58"/>
      <c r="D17" s="310"/>
      <c r="E17" s="163"/>
      <c r="F17" s="379"/>
    </row>
    <row r="18" spans="1:6" ht="14">
      <c r="A18" s="15"/>
      <c r="B18" s="92"/>
      <c r="C18" s="58" t="s">
        <v>217</v>
      </c>
      <c r="D18" s="438" t="s">
        <v>81</v>
      </c>
      <c r="E18" s="81"/>
      <c r="F18" s="382">
        <f>-F70-F19-F74</f>
        <v>-1088.0985590490814</v>
      </c>
    </row>
    <row r="19" spans="1:6" ht="14">
      <c r="A19" s="15"/>
      <c r="B19" s="92"/>
      <c r="C19" s="58" t="s">
        <v>186</v>
      </c>
      <c r="D19" s="438" t="s">
        <v>536</v>
      </c>
      <c r="E19" s="81"/>
      <c r="F19" s="382">
        <f>(-F151-'Analyst Guide'!$F$180-'Analyst Guide'!$F$187)*93%</f>
        <v>-333.2336204054867</v>
      </c>
    </row>
    <row r="20" spans="1:6" ht="14">
      <c r="A20" s="15"/>
      <c r="B20" s="92"/>
      <c r="C20" s="85" t="s">
        <v>8</v>
      </c>
      <c r="D20" s="309"/>
      <c r="E20" s="75" t="s">
        <v>35</v>
      </c>
      <c r="F20" s="383">
        <f>F16+SUM(F18:F19)</f>
        <v>1136.4624541297244</v>
      </c>
    </row>
    <row r="21" spans="1:6" ht="14">
      <c r="A21" s="15"/>
      <c r="B21" s="92"/>
      <c r="C21" s="58"/>
      <c r="D21" s="310"/>
      <c r="E21" s="163"/>
      <c r="F21" s="379"/>
    </row>
    <row r="22" spans="1:6" ht="14">
      <c r="A22" s="15"/>
      <c r="B22" s="92"/>
      <c r="C22" s="58" t="s">
        <v>310</v>
      </c>
      <c r="D22" s="438" t="s">
        <v>533</v>
      </c>
      <c r="E22" s="81"/>
      <c r="F22" s="382">
        <f>-(F13+F14)*('Analyst Guide'!$F$86-'Analyst Guide'!$F$87)%-F23-F76</f>
        <v>-272.96524776798145</v>
      </c>
    </row>
    <row r="23" spans="1:6" ht="14">
      <c r="A23" s="15"/>
      <c r="B23" s="92"/>
      <c r="C23" s="58" t="s">
        <v>186</v>
      </c>
      <c r="D23" s="438" t="s">
        <v>311</v>
      </c>
      <c r="E23" s="81"/>
      <c r="F23" s="382">
        <f>(-F151-'Analyst Guide'!$F$180-'Analyst Guide'!$F$187)-F19</f>
        <v>-25.082100460627998</v>
      </c>
    </row>
    <row r="24" spans="1:6" ht="14">
      <c r="A24" s="15"/>
      <c r="B24" s="92"/>
      <c r="C24" s="85" t="s">
        <v>9</v>
      </c>
      <c r="D24" s="309"/>
      <c r="E24" s="75" t="s">
        <v>35</v>
      </c>
      <c r="F24" s="383">
        <f>F20+SUM(F22:F23)</f>
        <v>838.41510590111488</v>
      </c>
    </row>
    <row r="25" spans="1:6" ht="14">
      <c r="A25" s="15"/>
      <c r="B25" s="92"/>
      <c r="C25" s="58"/>
      <c r="D25" s="310"/>
      <c r="E25" s="163"/>
      <c r="F25" s="379"/>
    </row>
    <row r="26" spans="1:6" ht="14">
      <c r="A26" s="15"/>
      <c r="B26" s="92"/>
      <c r="C26" s="58" t="s">
        <v>10</v>
      </c>
      <c r="D26" s="438" t="s">
        <v>81</v>
      </c>
      <c r="E26" s="81"/>
      <c r="F26" s="380">
        <f>-F92</f>
        <v>-307.0127</v>
      </c>
    </row>
    <row r="27" spans="1:6" ht="14">
      <c r="A27" s="15"/>
      <c r="B27" s="92"/>
      <c r="C27" s="58" t="s">
        <v>213</v>
      </c>
      <c r="D27" s="438" t="s">
        <v>329</v>
      </c>
      <c r="E27" s="81"/>
      <c r="F27" s="384">
        <f>3%*F114</f>
        <v>24.498539548539014</v>
      </c>
    </row>
    <row r="28" spans="1:6" ht="14">
      <c r="A28" s="15"/>
      <c r="B28" s="92"/>
      <c r="C28" s="58" t="s">
        <v>46</v>
      </c>
      <c r="D28" s="438" t="s">
        <v>274</v>
      </c>
      <c r="E28" s="81"/>
      <c r="F28" s="380">
        <f>'Analyst Guide'!$G$119</f>
        <v>2.254</v>
      </c>
    </row>
    <row r="29" spans="1:6" ht="14">
      <c r="A29" s="15"/>
      <c r="B29" s="92"/>
      <c r="C29" s="58" t="s">
        <v>156</v>
      </c>
      <c r="D29" s="438" t="s">
        <v>275</v>
      </c>
      <c r="E29" s="81"/>
      <c r="F29" s="381">
        <v>0</v>
      </c>
    </row>
    <row r="30" spans="1:6" ht="14">
      <c r="A30" s="15"/>
      <c r="B30" s="92"/>
      <c r="C30" s="85" t="s">
        <v>215</v>
      </c>
      <c r="D30" s="311"/>
      <c r="E30" s="75" t="s">
        <v>35</v>
      </c>
      <c r="F30" s="383">
        <f>SUM(F26:F29)+F24</f>
        <v>558.15494544965395</v>
      </c>
    </row>
    <row r="31" spans="1:6" ht="12.75" customHeight="1">
      <c r="A31" s="15"/>
      <c r="B31" s="92"/>
      <c r="C31" s="58" t="s">
        <v>214</v>
      </c>
      <c r="D31" s="438" t="s">
        <v>328</v>
      </c>
      <c r="E31" s="81"/>
      <c r="F31" s="380">
        <f>-F30*9%+351.18/39</f>
        <v>-41.229329705853466</v>
      </c>
    </row>
    <row r="32" spans="1:6" ht="12.75" customHeight="1">
      <c r="A32" s="15"/>
      <c r="B32" s="92"/>
      <c r="C32" s="85" t="s">
        <v>324</v>
      </c>
      <c r="D32" s="311"/>
      <c r="E32" s="75" t="s">
        <v>35</v>
      </c>
      <c r="F32" s="383">
        <f>+F30+F31</f>
        <v>516.92561574380045</v>
      </c>
    </row>
    <row r="33" spans="1:6" ht="12.75" customHeight="1">
      <c r="A33" s="15"/>
      <c r="B33" s="92"/>
      <c r="C33" s="110" t="s">
        <v>325</v>
      </c>
      <c r="D33" s="105"/>
      <c r="E33" s="165"/>
      <c r="F33" s="385">
        <f>F32-F34</f>
        <v>486.35961574380048</v>
      </c>
    </row>
    <row r="34" spans="1:6" ht="28.5" customHeight="1">
      <c r="A34" s="15"/>
      <c r="B34" s="92"/>
      <c r="C34" s="24" t="s">
        <v>326</v>
      </c>
      <c r="D34" s="438" t="s">
        <v>453</v>
      </c>
      <c r="E34" s="81"/>
      <c r="F34" s="440">
        <v>30.565999999999999</v>
      </c>
    </row>
    <row r="35" spans="1:6" ht="12.75" customHeight="1">
      <c r="A35" s="15"/>
      <c r="B35" s="92"/>
      <c r="C35" s="74"/>
      <c r="D35" s="105"/>
      <c r="E35" s="166"/>
      <c r="F35" s="167"/>
    </row>
    <row r="36" spans="1:6" ht="14">
      <c r="A36" s="15"/>
      <c r="B36" s="92"/>
      <c r="C36" s="85" t="s">
        <v>7</v>
      </c>
      <c r="D36" s="441" t="s">
        <v>320</v>
      </c>
      <c r="E36" s="75" t="s">
        <v>35</v>
      </c>
      <c r="F36" s="383">
        <f>F24-F19-F23-F52</f>
        <v>1332.1220007130128</v>
      </c>
    </row>
    <row r="37" spans="1:6" ht="12.75" customHeight="1">
      <c r="A37" s="15"/>
      <c r="B37" s="92"/>
      <c r="C37" s="58"/>
      <c r="D37" s="307"/>
      <c r="E37" s="81"/>
      <c r="F37" s="164"/>
    </row>
    <row r="38" spans="1:6" ht="14">
      <c r="A38" s="15"/>
      <c r="B38" s="92"/>
      <c r="C38" s="449" t="s">
        <v>55</v>
      </c>
      <c r="D38" s="308"/>
      <c r="E38" s="79"/>
      <c r="F38" s="168"/>
    </row>
    <row r="39" spans="1:6" ht="12.75" customHeight="1">
      <c r="A39" s="15"/>
      <c r="B39" s="92"/>
      <c r="C39" s="453" t="s">
        <v>314</v>
      </c>
      <c r="D39" s="307"/>
      <c r="E39" s="81"/>
      <c r="F39" s="161"/>
    </row>
    <row r="40" spans="1:6" ht="14">
      <c r="A40" s="15"/>
      <c r="B40" s="92"/>
      <c r="C40" s="59" t="s">
        <v>315</v>
      </c>
      <c r="D40" s="307"/>
      <c r="E40" s="81"/>
      <c r="F40" s="161"/>
    </row>
    <row r="41" spans="1:6" ht="14">
      <c r="A41" s="15"/>
      <c r="B41" s="92"/>
      <c r="C41" s="58" t="s">
        <v>40</v>
      </c>
      <c r="D41" s="442" t="s">
        <v>313</v>
      </c>
      <c r="E41" s="81"/>
      <c r="F41" s="380">
        <f>'Analyst Guide'!F36</f>
        <v>1204.354</v>
      </c>
    </row>
    <row r="42" spans="1:6" ht="14">
      <c r="A42" s="15"/>
      <c r="B42" s="92"/>
      <c r="C42" s="58" t="s">
        <v>47</v>
      </c>
      <c r="D42" s="442" t="s">
        <v>313</v>
      </c>
      <c r="E42" s="81"/>
      <c r="F42" s="380">
        <f>'Analyst Guide'!F37</f>
        <v>369.464</v>
      </c>
    </row>
    <row r="43" spans="1:6" ht="14">
      <c r="A43" s="15"/>
      <c r="B43" s="92"/>
      <c r="C43" s="58" t="s">
        <v>342</v>
      </c>
      <c r="D43" s="313"/>
      <c r="E43" s="81"/>
      <c r="F43" s="380">
        <f>SUM(F41:F42)</f>
        <v>1573.818</v>
      </c>
    </row>
    <row r="44" spans="1:6" ht="14">
      <c r="A44" s="15"/>
      <c r="B44" s="92"/>
      <c r="C44" s="76" t="s">
        <v>266</v>
      </c>
      <c r="D44" s="443" t="s">
        <v>484</v>
      </c>
      <c r="E44" s="80" t="s">
        <v>140</v>
      </c>
      <c r="F44" s="386">
        <f>F41*(1+3%)</f>
        <v>1240.4846200000002</v>
      </c>
    </row>
    <row r="45" spans="1:6" ht="12.75" customHeight="1">
      <c r="A45" s="15"/>
      <c r="B45" s="92"/>
      <c r="C45" s="58"/>
      <c r="D45" s="307"/>
      <c r="E45" s="81"/>
      <c r="F45" s="161"/>
    </row>
    <row r="46" spans="1:6" ht="14">
      <c r="A46" s="15"/>
      <c r="B46" s="92"/>
      <c r="C46" s="59" t="s">
        <v>56</v>
      </c>
      <c r="D46" s="307"/>
      <c r="E46" s="81"/>
      <c r="F46" s="161"/>
    </row>
    <row r="47" spans="1:6" ht="14">
      <c r="A47" s="15"/>
      <c r="B47" s="92"/>
      <c r="C47" s="58" t="s">
        <v>300</v>
      </c>
      <c r="D47" s="438" t="s">
        <v>210</v>
      </c>
      <c r="E47" s="81" t="s">
        <v>35</v>
      </c>
      <c r="F47" s="387">
        <f>'Analyst Guide'!F78*'Analyst Guide'!F71%</f>
        <v>1390.8776598000002</v>
      </c>
    </row>
    <row r="48" spans="1:6" ht="14">
      <c r="A48" s="15"/>
      <c r="B48" s="92"/>
      <c r="C48" s="58" t="s">
        <v>296</v>
      </c>
      <c r="D48" s="438" t="s">
        <v>480</v>
      </c>
      <c r="E48" s="81" t="s">
        <v>6</v>
      </c>
      <c r="F48" s="387">
        <f>F47/F41*1000</f>
        <v>1154.874447047961</v>
      </c>
    </row>
    <row r="49" spans="1:6" ht="14">
      <c r="A49" s="15"/>
      <c r="B49" s="92"/>
      <c r="C49" s="58" t="s">
        <v>137</v>
      </c>
      <c r="D49" s="438" t="s">
        <v>269</v>
      </c>
      <c r="E49" s="81" t="s">
        <v>5</v>
      </c>
      <c r="F49" s="444">
        <v>1.25</v>
      </c>
    </row>
    <row r="50" spans="1:6" ht="14">
      <c r="A50" s="15"/>
      <c r="B50" s="92"/>
      <c r="C50" s="58" t="s">
        <v>295</v>
      </c>
      <c r="D50" s="438" t="s">
        <v>294</v>
      </c>
      <c r="E50" s="81" t="s">
        <v>6</v>
      </c>
      <c r="F50" s="382">
        <f>F48*(1+F49/100*60%)</f>
        <v>1163.5360054008208</v>
      </c>
    </row>
    <row r="51" spans="1:6" ht="14">
      <c r="A51" s="15"/>
      <c r="B51" s="92"/>
      <c r="C51" s="58" t="s">
        <v>301</v>
      </c>
      <c r="D51" s="438" t="s">
        <v>298</v>
      </c>
      <c r="E51" s="81" t="s">
        <v>35</v>
      </c>
      <c r="F51" s="382">
        <f>F50*F44/1000</f>
        <v>1443.3485195159553</v>
      </c>
    </row>
    <row r="52" spans="1:6" ht="14">
      <c r="A52" s="15"/>
      <c r="B52" s="92"/>
      <c r="C52" s="58" t="s">
        <v>105</v>
      </c>
      <c r="D52" s="438" t="s">
        <v>81</v>
      </c>
      <c r="E52" s="81" t="s">
        <v>35</v>
      </c>
      <c r="F52" s="380">
        <f>F157+F158+F159</f>
        <v>-135.39117394578318</v>
      </c>
    </row>
    <row r="53" spans="1:6" ht="14">
      <c r="A53" s="15"/>
      <c r="B53" s="92"/>
      <c r="C53" s="76" t="s">
        <v>52</v>
      </c>
      <c r="D53" s="314"/>
      <c r="E53" s="75" t="s">
        <v>35</v>
      </c>
      <c r="F53" s="386">
        <f>SUM(F51:F52)</f>
        <v>1307.957345570172</v>
      </c>
    </row>
    <row r="54" spans="1:6" ht="12.75" customHeight="1">
      <c r="A54" s="15"/>
      <c r="B54" s="92"/>
      <c r="C54" s="58"/>
      <c r="D54" s="307"/>
      <c r="E54" s="81"/>
      <c r="F54" s="161"/>
    </row>
    <row r="55" spans="1:6" ht="30" customHeight="1">
      <c r="A55" s="15"/>
      <c r="B55" s="92"/>
      <c r="C55" s="321" t="s">
        <v>106</v>
      </c>
      <c r="D55" s="321"/>
      <c r="E55" s="321"/>
      <c r="F55" s="322"/>
    </row>
    <row r="56" spans="1:6" ht="12.75" customHeight="1">
      <c r="A56" s="15"/>
      <c r="B56" s="92"/>
      <c r="C56" s="58"/>
      <c r="D56" s="307"/>
      <c r="E56" s="81"/>
      <c r="F56" s="161"/>
    </row>
    <row r="57" spans="1:6" ht="14">
      <c r="A57" s="15"/>
      <c r="B57" s="92"/>
      <c r="C57" s="59" t="s">
        <v>57</v>
      </c>
      <c r="D57" s="307"/>
      <c r="E57" s="81"/>
      <c r="F57" s="161"/>
    </row>
    <row r="58" spans="1:6" ht="14">
      <c r="A58" s="15"/>
      <c r="B58" s="92"/>
      <c r="C58" s="58" t="s">
        <v>109</v>
      </c>
      <c r="D58" s="438" t="s">
        <v>210</v>
      </c>
      <c r="E58" s="81" t="s">
        <v>35</v>
      </c>
      <c r="F58" s="382">
        <f>'Analyst Guide'!F78*'Analyst Guide'!F72%</f>
        <v>1109.8013402000001</v>
      </c>
    </row>
    <row r="59" spans="1:6" ht="14">
      <c r="A59" s="15"/>
      <c r="B59" s="92"/>
      <c r="C59" s="58" t="s">
        <v>305</v>
      </c>
      <c r="D59" s="438" t="s">
        <v>306</v>
      </c>
      <c r="E59" s="81" t="s">
        <v>307</v>
      </c>
      <c r="F59" s="388">
        <f>F58/'Analyst Guide'!F68/1000</f>
        <v>0.42294258391768297</v>
      </c>
    </row>
    <row r="60" spans="1:6" ht="14">
      <c r="A60" s="15"/>
      <c r="B60" s="92"/>
      <c r="C60" s="58" t="s">
        <v>308</v>
      </c>
      <c r="D60" s="438" t="s">
        <v>529</v>
      </c>
      <c r="E60" s="23" t="s">
        <v>23</v>
      </c>
      <c r="F60" s="380">
        <f>'Analyst Guide'!F66*(1+2%)</f>
        <v>2222.3366219566674</v>
      </c>
    </row>
    <row r="61" spans="1:6" ht="14">
      <c r="A61" s="15"/>
      <c r="B61" s="92"/>
      <c r="C61" s="58" t="s">
        <v>309</v>
      </c>
      <c r="D61" s="438" t="s">
        <v>302</v>
      </c>
      <c r="E61" s="81" t="s">
        <v>303</v>
      </c>
      <c r="F61" s="389">
        <f>F60*F44/1000000</f>
        <v>2.7567744000000003</v>
      </c>
    </row>
    <row r="62" spans="1:6" ht="14">
      <c r="A62" s="15"/>
      <c r="B62" s="92"/>
      <c r="C62" s="58" t="s">
        <v>304</v>
      </c>
      <c r="D62" s="438" t="s">
        <v>211</v>
      </c>
      <c r="E62" s="81" t="s">
        <v>5</v>
      </c>
      <c r="F62" s="380">
        <v>0</v>
      </c>
    </row>
    <row r="63" spans="1:6" ht="14">
      <c r="A63" s="15"/>
      <c r="B63" s="92"/>
      <c r="C63" s="76" t="s">
        <v>53</v>
      </c>
      <c r="D63" s="314"/>
      <c r="E63" s="75" t="s">
        <v>35</v>
      </c>
      <c r="F63" s="386">
        <f>F61*F59*(1+F62)*1000</f>
        <v>1165.9572880141202</v>
      </c>
    </row>
    <row r="64" spans="1:6" ht="12.75" customHeight="1">
      <c r="A64" s="15"/>
      <c r="B64" s="92"/>
      <c r="C64" s="58"/>
      <c r="D64" s="307"/>
      <c r="E64" s="81"/>
      <c r="F64" s="161"/>
    </row>
    <row r="65" spans="1:6" ht="16" customHeight="1">
      <c r="A65" s="15"/>
      <c r="B65" s="92"/>
      <c r="C65" s="321" t="s">
        <v>173</v>
      </c>
      <c r="D65" s="321"/>
      <c r="E65" s="321"/>
      <c r="F65" s="322"/>
    </row>
    <row r="66" spans="1:6" ht="12.75" customHeight="1">
      <c r="A66" s="15"/>
      <c r="B66" s="92"/>
      <c r="C66" s="58"/>
      <c r="D66" s="307"/>
      <c r="E66" s="81"/>
      <c r="F66" s="161"/>
    </row>
    <row r="67" spans="1:6" ht="12.75" customHeight="1">
      <c r="A67" s="15"/>
      <c r="B67" s="92"/>
      <c r="C67" s="59" t="s">
        <v>312</v>
      </c>
      <c r="D67" s="307"/>
      <c r="E67" s="81"/>
      <c r="F67" s="161"/>
    </row>
    <row r="68" spans="1:6" ht="12.75" customHeight="1">
      <c r="A68" s="15"/>
      <c r="B68" s="92"/>
      <c r="C68" s="58" t="s">
        <v>454</v>
      </c>
      <c r="D68" s="442" t="s">
        <v>343</v>
      </c>
      <c r="E68" s="81" t="s">
        <v>35</v>
      </c>
      <c r="F68" s="380">
        <f>'Analyst Guide'!F80*(1-'Analyst Guide'!F86%)</f>
        <v>1336.8648939999998</v>
      </c>
    </row>
    <row r="69" spans="1:6" ht="28.5" customHeight="1">
      <c r="A69" s="15"/>
      <c r="B69" s="92"/>
      <c r="C69" s="58" t="s">
        <v>317</v>
      </c>
      <c r="D69" s="442" t="s">
        <v>530</v>
      </c>
      <c r="E69" s="81" t="s">
        <v>5</v>
      </c>
      <c r="F69" s="390">
        <f>62%*(F61/'Analyst Guide'!F68-1)</f>
        <v>3.1371999999999983E-2</v>
      </c>
    </row>
    <row r="70" spans="1:6" ht="12.75" customHeight="1">
      <c r="A70" s="15"/>
      <c r="B70" s="92"/>
      <c r="C70" s="76" t="s">
        <v>316</v>
      </c>
      <c r="D70" s="314"/>
      <c r="E70" s="75" t="s">
        <v>35</v>
      </c>
      <c r="F70" s="386">
        <f>F68*(1+F69)</f>
        <v>1378.8050194545679</v>
      </c>
    </row>
    <row r="71" spans="1:6" ht="12.75" customHeight="1">
      <c r="A71" s="15"/>
      <c r="B71" s="92"/>
      <c r="C71" s="58"/>
      <c r="D71" s="307"/>
      <c r="E71" s="81"/>
      <c r="F71" s="161"/>
    </row>
    <row r="72" spans="1:6" ht="14">
      <c r="A72" s="15"/>
      <c r="B72" s="92"/>
      <c r="C72" s="453" t="s">
        <v>319</v>
      </c>
      <c r="D72" s="307"/>
      <c r="E72" s="81"/>
      <c r="F72" s="161"/>
    </row>
    <row r="73" spans="1:6" ht="14">
      <c r="A73" s="15"/>
      <c r="B73" s="92"/>
      <c r="C73" s="76" t="s">
        <v>318</v>
      </c>
      <c r="D73" s="443" t="s">
        <v>343</v>
      </c>
      <c r="E73" s="75" t="s">
        <v>35</v>
      </c>
      <c r="F73" s="386">
        <f>'Analyst Guide'!F108</f>
        <v>83.88</v>
      </c>
    </row>
    <row r="74" spans="1:6" ht="14">
      <c r="A74" s="15"/>
      <c r="B74" s="92"/>
      <c r="C74" s="58" t="s">
        <v>49</v>
      </c>
      <c r="D74" s="438" t="s">
        <v>455</v>
      </c>
      <c r="E74" s="81"/>
      <c r="F74" s="380">
        <f>(1-'Analyst Guide'!F105%)*'Indicative Model'!F73</f>
        <v>42.527159999999995</v>
      </c>
    </row>
    <row r="75" spans="1:6" ht="14">
      <c r="A75" s="15"/>
      <c r="B75" s="92"/>
      <c r="C75" s="76" t="s">
        <v>99</v>
      </c>
      <c r="D75" s="314"/>
      <c r="E75" s="75" t="s">
        <v>35</v>
      </c>
      <c r="F75" s="386">
        <f>+F73-F74</f>
        <v>41.35284</v>
      </c>
    </row>
    <row r="76" spans="1:6" ht="14">
      <c r="A76" s="15"/>
      <c r="B76" s="92"/>
      <c r="C76" s="58" t="s">
        <v>100</v>
      </c>
      <c r="D76" s="438" t="s">
        <v>455</v>
      </c>
      <c r="E76" s="81"/>
      <c r="F76" s="380">
        <f>('Analyst Guide'!F105-'Analyst Guide'!F106)%*'Indicative Model'!F73</f>
        <v>16.021079999999998</v>
      </c>
    </row>
    <row r="77" spans="1:6" ht="14">
      <c r="A77" s="15"/>
      <c r="B77" s="92"/>
      <c r="C77" s="76" t="s">
        <v>9</v>
      </c>
      <c r="D77" s="445"/>
      <c r="E77" s="75" t="s">
        <v>35</v>
      </c>
      <c r="F77" s="386">
        <f>+F75-F76</f>
        <v>25.331760000000003</v>
      </c>
    </row>
    <row r="78" spans="1:6" ht="14">
      <c r="A78" s="15"/>
      <c r="B78" s="92"/>
      <c r="C78" s="55"/>
      <c r="D78" s="446"/>
      <c r="E78" s="82"/>
      <c r="F78" s="93"/>
    </row>
    <row r="79" spans="1:6" ht="12.75" customHeight="1">
      <c r="A79" s="15"/>
      <c r="B79" s="92"/>
      <c r="C79" s="76" t="s">
        <v>7</v>
      </c>
      <c r="D79" s="443" t="s">
        <v>455</v>
      </c>
      <c r="E79" s="75" t="s">
        <v>35</v>
      </c>
      <c r="F79" s="386">
        <f>'Analyst Guide'!F107%*'Indicative Model'!F73</f>
        <v>31.538879999999999</v>
      </c>
    </row>
    <row r="80" spans="1:6" ht="12.75" customHeight="1">
      <c r="A80" s="15"/>
      <c r="B80" s="92"/>
      <c r="C80" s="55"/>
      <c r="D80" s="315"/>
      <c r="E80" s="82"/>
      <c r="F80" s="93"/>
    </row>
    <row r="81" spans="1:6" ht="14" customHeight="1">
      <c r="A81" s="15"/>
      <c r="B81" s="92"/>
      <c r="C81" s="321" t="s">
        <v>101</v>
      </c>
      <c r="D81" s="321"/>
      <c r="E81" s="321"/>
      <c r="F81" s="322"/>
    </row>
    <row r="82" spans="1:6" s="77" customFormat="1" ht="14">
      <c r="A82" s="11"/>
      <c r="B82" s="100"/>
      <c r="C82" s="169"/>
      <c r="D82" s="169"/>
      <c r="E82" s="103"/>
      <c r="F82" s="170"/>
    </row>
    <row r="83" spans="1:6" ht="14">
      <c r="A83" s="15"/>
      <c r="B83" s="92"/>
      <c r="C83" s="453" t="s">
        <v>10</v>
      </c>
      <c r="D83" s="307"/>
      <c r="E83" s="81"/>
      <c r="F83" s="161"/>
    </row>
    <row r="84" spans="1:6" ht="14">
      <c r="A84" s="15"/>
      <c r="B84" s="92"/>
      <c r="C84" s="58" t="s">
        <v>70</v>
      </c>
      <c r="D84" s="438" t="s">
        <v>531</v>
      </c>
      <c r="E84" s="81" t="s">
        <v>35</v>
      </c>
      <c r="F84" s="380">
        <f>'Analyst Guide'!F141</f>
        <v>6322.46</v>
      </c>
    </row>
    <row r="85" spans="1:6" ht="14">
      <c r="A85" s="15"/>
      <c r="B85" s="92"/>
      <c r="C85" s="58" t="s">
        <v>66</v>
      </c>
      <c r="D85" s="438" t="s">
        <v>532</v>
      </c>
      <c r="E85" s="81" t="s">
        <v>5</v>
      </c>
      <c r="F85" s="379">
        <f>'Analyst Guide'!F159</f>
        <v>4.4999999999999998E-2</v>
      </c>
    </row>
    <row r="86" spans="1:6" ht="14">
      <c r="A86" s="15"/>
      <c r="B86" s="92"/>
      <c r="C86" s="76" t="s">
        <v>67</v>
      </c>
      <c r="D86" s="314"/>
      <c r="E86" s="75" t="s">
        <v>35</v>
      </c>
      <c r="F86" s="386">
        <f>F84*F85</f>
        <v>284.51069999999999</v>
      </c>
    </row>
    <row r="87" spans="1:6" ht="12.75" customHeight="1">
      <c r="A87" s="15"/>
      <c r="B87" s="92"/>
      <c r="C87" s="58"/>
      <c r="D87" s="307"/>
      <c r="E87" s="81"/>
      <c r="F87" s="161"/>
    </row>
    <row r="88" spans="1:6" ht="14">
      <c r="A88" s="15"/>
      <c r="B88" s="92"/>
      <c r="C88" s="58" t="s">
        <v>107</v>
      </c>
      <c r="D88" s="438" t="s">
        <v>456</v>
      </c>
      <c r="E88" s="81"/>
      <c r="F88" s="380">
        <f>'Analyst Guide'!$F$162</f>
        <v>11.565</v>
      </c>
    </row>
    <row r="89" spans="1:6" ht="14">
      <c r="A89" s="15"/>
      <c r="B89" s="92"/>
      <c r="C89" s="58" t="s">
        <v>160</v>
      </c>
      <c r="D89" s="438" t="s">
        <v>456</v>
      </c>
      <c r="E89" s="81"/>
      <c r="F89" s="380">
        <f>'Analyst Guide'!$F$164</f>
        <v>10.936999999999999</v>
      </c>
    </row>
    <row r="90" spans="1:6" ht="14">
      <c r="A90" s="15"/>
      <c r="B90" s="92"/>
      <c r="C90" s="76" t="s">
        <v>68</v>
      </c>
      <c r="D90" s="314"/>
      <c r="E90" s="75" t="s">
        <v>35</v>
      </c>
      <c r="F90" s="386">
        <f>F88+F89</f>
        <v>22.501999999999999</v>
      </c>
    </row>
    <row r="91" spans="1:6" ht="12.75" customHeight="1">
      <c r="A91" s="15"/>
      <c r="B91" s="92"/>
      <c r="C91" s="58"/>
      <c r="D91" s="307"/>
      <c r="E91" s="81"/>
      <c r="F91" s="161"/>
    </row>
    <row r="92" spans="1:6" ht="14">
      <c r="A92" s="15"/>
      <c r="B92" s="92"/>
      <c r="C92" s="76" t="s">
        <v>69</v>
      </c>
      <c r="D92" s="314"/>
      <c r="E92" s="75" t="s">
        <v>35</v>
      </c>
      <c r="F92" s="386">
        <f>+F90+F86</f>
        <v>307.0127</v>
      </c>
    </row>
    <row r="93" spans="1:6" ht="14">
      <c r="A93" s="15"/>
      <c r="B93" s="92"/>
      <c r="C93" s="59"/>
      <c r="D93" s="316"/>
      <c r="E93" s="81"/>
      <c r="F93" s="171"/>
    </row>
    <row r="94" spans="1:6" ht="14" customHeight="1">
      <c r="A94" s="15"/>
      <c r="B94" s="92"/>
      <c r="C94" s="323" t="s">
        <v>493</v>
      </c>
      <c r="D94" s="323"/>
      <c r="E94" s="323"/>
      <c r="F94" s="324"/>
    </row>
    <row r="95" spans="1:6" ht="12.75" customHeight="1">
      <c r="A95" s="15"/>
      <c r="B95" s="92"/>
      <c r="C95" s="58"/>
      <c r="D95" s="307"/>
      <c r="E95" s="81"/>
      <c r="F95" s="161"/>
    </row>
    <row r="96" spans="1:6" ht="14">
      <c r="A96" s="15"/>
      <c r="B96" s="406" t="s">
        <v>54</v>
      </c>
      <c r="C96" s="402"/>
      <c r="D96" s="436"/>
      <c r="E96" s="437"/>
      <c r="F96" s="404"/>
    </row>
    <row r="97" spans="1:6" ht="12.75" customHeight="1">
      <c r="A97" s="15"/>
      <c r="B97" s="92"/>
      <c r="C97" s="58"/>
      <c r="D97" s="307"/>
      <c r="E97" s="81"/>
      <c r="F97" s="161"/>
    </row>
    <row r="98" spans="1:6" ht="14">
      <c r="A98" s="15"/>
      <c r="B98" s="92"/>
      <c r="C98" s="56" t="s">
        <v>58</v>
      </c>
      <c r="D98" s="308"/>
      <c r="E98" s="54"/>
      <c r="F98" s="439" t="s">
        <v>297</v>
      </c>
    </row>
    <row r="99" spans="1:6" ht="14">
      <c r="A99" s="15"/>
      <c r="B99" s="92"/>
      <c r="C99" s="58"/>
      <c r="D99" s="307"/>
      <c r="E99" s="81"/>
      <c r="F99" s="97"/>
    </row>
    <row r="100" spans="1:6" ht="14">
      <c r="A100" s="15"/>
      <c r="B100" s="92"/>
      <c r="C100" s="58" t="s">
        <v>59</v>
      </c>
      <c r="D100" s="438" t="s">
        <v>81</v>
      </c>
      <c r="E100" s="81"/>
      <c r="F100" s="380">
        <f>F153</f>
        <v>4555.4102791338846</v>
      </c>
    </row>
    <row r="101" spans="1:6" ht="14">
      <c r="A101" s="15"/>
      <c r="B101" s="92"/>
      <c r="C101" s="58" t="s">
        <v>162</v>
      </c>
      <c r="D101" s="438" t="s">
        <v>273</v>
      </c>
      <c r="E101" s="81"/>
      <c r="F101" s="380">
        <f>'Analyst Guide'!F183-'Analyst Guide'!F180</f>
        <v>221.46299999999999</v>
      </c>
    </row>
    <row r="102" spans="1:6" ht="14">
      <c r="A102" s="15"/>
      <c r="B102" s="92"/>
      <c r="C102" s="58" t="s">
        <v>174</v>
      </c>
      <c r="D102" s="438" t="s">
        <v>271</v>
      </c>
      <c r="E102" s="81"/>
      <c r="F102" s="447">
        <v>319.20699999999999</v>
      </c>
    </row>
    <row r="103" spans="1:6" ht="14">
      <c r="A103" s="15"/>
      <c r="B103" s="92"/>
      <c r="C103" s="58" t="s">
        <v>168</v>
      </c>
      <c r="D103" s="438" t="s">
        <v>457</v>
      </c>
      <c r="E103" s="81"/>
      <c r="F103" s="380">
        <f>'Analyst Guide'!F188-'Analyst Guide'!F187</f>
        <v>3451.154</v>
      </c>
    </row>
    <row r="104" spans="1:6" ht="14">
      <c r="A104" s="15"/>
      <c r="B104" s="92"/>
      <c r="C104" s="58" t="s">
        <v>60</v>
      </c>
      <c r="D104" s="438" t="s">
        <v>81</v>
      </c>
      <c r="E104" s="81"/>
      <c r="F104" s="380">
        <f>F162-F112</f>
        <v>2176.0020135542168</v>
      </c>
    </row>
    <row r="105" spans="1:6" ht="14">
      <c r="A105" s="15"/>
      <c r="B105" s="92"/>
      <c r="C105" s="58" t="s">
        <v>79</v>
      </c>
      <c r="D105" s="438" t="s">
        <v>271</v>
      </c>
      <c r="E105" s="81"/>
      <c r="F105" s="447">
        <v>244.89599999999999</v>
      </c>
    </row>
    <row r="106" spans="1:6" ht="14">
      <c r="A106" s="15"/>
      <c r="B106" s="92"/>
      <c r="C106" s="58" t="s">
        <v>61</v>
      </c>
      <c r="D106" s="438" t="s">
        <v>81</v>
      </c>
      <c r="E106" s="81"/>
      <c r="F106" s="380">
        <f>$F$186</f>
        <v>1677.4409999999998</v>
      </c>
    </row>
    <row r="107" spans="1:6" ht="14">
      <c r="A107" s="15"/>
      <c r="B107" s="92"/>
      <c r="C107" s="58" t="s">
        <v>190</v>
      </c>
      <c r="D107" s="438" t="s">
        <v>271</v>
      </c>
      <c r="E107" s="81"/>
      <c r="F107" s="447">
        <v>10.663</v>
      </c>
    </row>
    <row r="108" spans="1:6" ht="14">
      <c r="A108" s="15"/>
      <c r="B108" s="92"/>
      <c r="C108" s="56" t="s">
        <v>62</v>
      </c>
      <c r="D108" s="312"/>
      <c r="E108" s="79" t="s">
        <v>35</v>
      </c>
      <c r="F108" s="391">
        <f>SUM(F100:F107)</f>
        <v>12656.236292688103</v>
      </c>
    </row>
    <row r="109" spans="1:6" ht="14">
      <c r="A109" s="15"/>
      <c r="B109" s="92"/>
      <c r="C109" s="58"/>
      <c r="D109" s="307"/>
      <c r="E109" s="81"/>
      <c r="F109" s="161"/>
    </row>
    <row r="110" spans="1:6" ht="14">
      <c r="A110" s="15"/>
      <c r="B110" s="92"/>
      <c r="C110" s="58" t="s">
        <v>80</v>
      </c>
      <c r="D110" s="438" t="s">
        <v>271</v>
      </c>
      <c r="E110" s="81"/>
      <c r="F110" s="447">
        <v>84.95</v>
      </c>
    </row>
    <row r="111" spans="1:6" ht="14">
      <c r="A111" s="15"/>
      <c r="B111" s="92"/>
      <c r="C111" s="58" t="s">
        <v>63</v>
      </c>
      <c r="D111" s="438" t="s">
        <v>81</v>
      </c>
      <c r="E111" s="81"/>
      <c r="F111" s="380">
        <f>F170</f>
        <v>521.14770488281135</v>
      </c>
    </row>
    <row r="112" spans="1:6" ht="14">
      <c r="A112" s="15"/>
      <c r="B112" s="92"/>
      <c r="C112" s="58" t="s">
        <v>60</v>
      </c>
      <c r="D112" s="438" t="s">
        <v>458</v>
      </c>
      <c r="E112" s="81"/>
      <c r="F112" s="380">
        <f>-F159</f>
        <v>359.85381250000006</v>
      </c>
    </row>
    <row r="113" spans="1:6" ht="14">
      <c r="A113" s="15"/>
      <c r="B113" s="92"/>
      <c r="C113" s="58" t="s">
        <v>42</v>
      </c>
      <c r="D113" s="438" t="s">
        <v>275</v>
      </c>
      <c r="E113" s="81"/>
      <c r="F113" s="381">
        <v>0</v>
      </c>
    </row>
    <row r="114" spans="1:6" ht="14">
      <c r="A114" s="15"/>
      <c r="B114" s="92"/>
      <c r="C114" s="58" t="s">
        <v>45</v>
      </c>
      <c r="D114" s="438" t="s">
        <v>330</v>
      </c>
      <c r="E114" s="81"/>
      <c r="F114" s="380">
        <v>816.61798495130051</v>
      </c>
    </row>
    <row r="115" spans="1:6" ht="14">
      <c r="A115" s="15"/>
      <c r="B115" s="92"/>
      <c r="C115" s="56" t="s">
        <v>64</v>
      </c>
      <c r="D115" s="317"/>
      <c r="E115" s="83" t="s">
        <v>35</v>
      </c>
      <c r="F115" s="391">
        <f>SUM(F110:F114)</f>
        <v>1782.569502334112</v>
      </c>
    </row>
    <row r="116" spans="1:6" ht="14">
      <c r="A116" s="15"/>
      <c r="B116" s="92"/>
      <c r="C116" s="58" t="s">
        <v>172</v>
      </c>
      <c r="D116" s="438" t="s">
        <v>271</v>
      </c>
      <c r="E116" s="83"/>
      <c r="F116" s="161">
        <v>0</v>
      </c>
    </row>
    <row r="117" spans="1:6" ht="14">
      <c r="A117" s="15"/>
      <c r="B117" s="92"/>
      <c r="C117" s="58"/>
      <c r="D117" s="307"/>
      <c r="E117" s="84"/>
      <c r="F117" s="161"/>
    </row>
    <row r="118" spans="1:6" ht="14">
      <c r="A118" s="15"/>
      <c r="B118" s="92"/>
      <c r="C118" s="56" t="s">
        <v>82</v>
      </c>
      <c r="D118" s="317"/>
      <c r="E118" s="79" t="s">
        <v>35</v>
      </c>
      <c r="F118" s="391">
        <f>+F115+F108+F116</f>
        <v>14438.805795022216</v>
      </c>
    </row>
    <row r="119" spans="1:6" ht="14">
      <c r="A119" s="15"/>
      <c r="B119" s="92"/>
      <c r="C119" s="58"/>
      <c r="D119" s="307"/>
      <c r="E119" s="81"/>
      <c r="F119" s="161"/>
    </row>
    <row r="120" spans="1:6" ht="14">
      <c r="A120" s="15"/>
      <c r="B120" s="92"/>
      <c r="C120" s="58" t="s">
        <v>188</v>
      </c>
      <c r="D120" s="438" t="s">
        <v>271</v>
      </c>
      <c r="E120" s="81"/>
      <c r="F120" s="384">
        <f>+'Analyst Guide'!F131</f>
        <v>2845.2710699999998</v>
      </c>
    </row>
    <row r="121" spans="1:6" ht="14">
      <c r="A121" s="15"/>
      <c r="B121" s="92"/>
      <c r="C121" s="58" t="s">
        <v>102</v>
      </c>
      <c r="D121" s="438" t="s">
        <v>322</v>
      </c>
      <c r="E121" s="81"/>
      <c r="F121" s="448">
        <f>3233.674+F33-F188</f>
        <v>3094.7256157438005</v>
      </c>
    </row>
    <row r="122" spans="1:6" ht="14" hidden="1">
      <c r="A122" s="15"/>
      <c r="B122" s="92"/>
      <c r="C122" s="58"/>
      <c r="D122" s="438"/>
      <c r="E122" s="81"/>
      <c r="F122" s="448"/>
    </row>
    <row r="123" spans="1:6" ht="14" hidden="1">
      <c r="A123" s="15"/>
      <c r="B123" s="92"/>
      <c r="C123" s="58"/>
      <c r="D123" s="438"/>
      <c r="E123" s="81"/>
      <c r="F123" s="448"/>
    </row>
    <row r="124" spans="1:6" ht="14">
      <c r="A124" s="15"/>
      <c r="B124" s="92"/>
      <c r="C124" s="58" t="s">
        <v>84</v>
      </c>
      <c r="D124" s="438" t="s">
        <v>323</v>
      </c>
      <c r="E124" s="81"/>
      <c r="F124" s="448">
        <f>593.303+F34-F190</f>
        <v>576.226</v>
      </c>
    </row>
    <row r="125" spans="1:6" ht="14">
      <c r="A125" s="15"/>
      <c r="B125" s="92"/>
      <c r="C125" s="56" t="s">
        <v>83</v>
      </c>
      <c r="D125" s="317"/>
      <c r="E125" s="79" t="s">
        <v>35</v>
      </c>
      <c r="F125" s="391">
        <f>SUM(F120:F124)</f>
        <v>6516.2226857438</v>
      </c>
    </row>
    <row r="126" spans="1:6" ht="14">
      <c r="A126" s="15"/>
      <c r="B126" s="92"/>
      <c r="C126" s="58"/>
      <c r="D126" s="307"/>
      <c r="E126" s="81"/>
      <c r="F126" s="161"/>
    </row>
    <row r="127" spans="1:6" ht="14">
      <c r="A127" s="15"/>
      <c r="B127" s="92"/>
      <c r="C127" s="58" t="s">
        <v>85</v>
      </c>
      <c r="D127" s="438" t="s">
        <v>534</v>
      </c>
      <c r="E127" s="81"/>
      <c r="F127" s="384">
        <f>'Analyst Guide'!F137+'Analyst Guide'!F138-F135</f>
        <v>1768.02</v>
      </c>
    </row>
    <row r="128" spans="1:6" ht="14">
      <c r="A128" s="15"/>
      <c r="B128" s="92"/>
      <c r="C128" s="58" t="s">
        <v>167</v>
      </c>
      <c r="D128" s="438" t="s">
        <v>534</v>
      </c>
      <c r="E128" s="81"/>
      <c r="F128" s="384">
        <f>'Analyst Guide'!F136-F138</f>
        <v>4389.68</v>
      </c>
    </row>
    <row r="129" spans="1:6" ht="14">
      <c r="A129" s="15"/>
      <c r="B129" s="92"/>
      <c r="C129" s="58" t="s">
        <v>163</v>
      </c>
      <c r="D129" s="438" t="s">
        <v>271</v>
      </c>
      <c r="E129" s="81"/>
      <c r="F129" s="384">
        <f>'Analyst Guide'!F142-F139</f>
        <v>126.43899999999999</v>
      </c>
    </row>
    <row r="130" spans="1:6" ht="14">
      <c r="A130" s="15"/>
      <c r="B130" s="92"/>
      <c r="C130" s="58" t="s">
        <v>86</v>
      </c>
      <c r="D130" s="438" t="s">
        <v>271</v>
      </c>
      <c r="E130" s="81"/>
      <c r="F130" s="447">
        <v>53.597999999999999</v>
      </c>
    </row>
    <row r="131" spans="1:6" ht="14">
      <c r="A131" s="15"/>
      <c r="B131" s="92"/>
      <c r="C131" s="58" t="s">
        <v>189</v>
      </c>
      <c r="D131" s="438" t="s">
        <v>535</v>
      </c>
      <c r="E131" s="81"/>
      <c r="F131" s="447">
        <f>351.18-351.18/39</f>
        <v>342.17538461538464</v>
      </c>
    </row>
    <row r="132" spans="1:6" ht="14">
      <c r="A132" s="15"/>
      <c r="B132" s="92"/>
      <c r="C132" s="58" t="s">
        <v>88</v>
      </c>
      <c r="D132" s="438" t="s">
        <v>271</v>
      </c>
      <c r="E132" s="81"/>
      <c r="F132" s="447">
        <v>351.08100000000002</v>
      </c>
    </row>
    <row r="133" spans="1:6" ht="14">
      <c r="A133" s="15"/>
      <c r="B133" s="92"/>
      <c r="C133" s="56" t="s">
        <v>87</v>
      </c>
      <c r="D133" s="317"/>
      <c r="E133" s="79" t="s">
        <v>35</v>
      </c>
      <c r="F133" s="391">
        <f>SUM(F127:F132)</f>
        <v>7030.9933846153854</v>
      </c>
    </row>
    <row r="134" spans="1:6" ht="12.75" customHeight="1">
      <c r="A134" s="15"/>
      <c r="B134" s="92"/>
      <c r="C134" s="58"/>
      <c r="D134" s="307"/>
      <c r="E134" s="81"/>
      <c r="F134" s="161"/>
    </row>
    <row r="135" spans="1:6" ht="12.75" customHeight="1">
      <c r="A135" s="15"/>
      <c r="B135" s="92"/>
      <c r="C135" s="58" t="s">
        <v>85</v>
      </c>
      <c r="D135" s="438" t="s">
        <v>481</v>
      </c>
      <c r="E135" s="81"/>
      <c r="F135" s="384">
        <f>'Analyst Guide'!D146</f>
        <v>164.76</v>
      </c>
    </row>
    <row r="136" spans="1:6" ht="12.75" hidden="1" customHeight="1">
      <c r="A136" s="15"/>
      <c r="B136" s="92"/>
      <c r="C136" s="58"/>
      <c r="D136" s="438"/>
      <c r="E136" s="81"/>
      <c r="F136" s="172"/>
    </row>
    <row r="137" spans="1:6" ht="12.75" hidden="1" customHeight="1">
      <c r="A137" s="15"/>
      <c r="B137" s="92"/>
      <c r="C137" s="58"/>
      <c r="D137" s="438"/>
      <c r="E137" s="81"/>
      <c r="F137" s="172"/>
    </row>
    <row r="138" spans="1:6" ht="12.75" customHeight="1">
      <c r="A138" s="15"/>
      <c r="B138" s="92"/>
      <c r="C138" s="58" t="s">
        <v>167</v>
      </c>
      <c r="D138" s="438" t="s">
        <v>481</v>
      </c>
      <c r="E138" s="81"/>
      <c r="F138" s="384">
        <f>'Analyst Guide'!E146</f>
        <v>0</v>
      </c>
    </row>
    <row r="139" spans="1:6" ht="12.75" customHeight="1">
      <c r="A139" s="15"/>
      <c r="B139" s="92"/>
      <c r="C139" s="58" t="s">
        <v>163</v>
      </c>
      <c r="D139" s="438" t="s">
        <v>271</v>
      </c>
      <c r="E139" s="81"/>
      <c r="F139" s="447">
        <v>51.731000000000002</v>
      </c>
    </row>
    <row r="140" spans="1:6" ht="14">
      <c r="A140" s="15"/>
      <c r="B140" s="92"/>
      <c r="C140" s="58" t="s">
        <v>89</v>
      </c>
      <c r="D140" s="438" t="s">
        <v>81</v>
      </c>
      <c r="E140" s="81"/>
      <c r="F140" s="380">
        <f>F178-F132</f>
        <v>675.2271548877701</v>
      </c>
    </row>
    <row r="141" spans="1:6" ht="14">
      <c r="A141" s="15"/>
      <c r="B141" s="92"/>
      <c r="C141" s="56" t="s">
        <v>90</v>
      </c>
      <c r="D141" s="317"/>
      <c r="E141" s="83" t="s">
        <v>35</v>
      </c>
      <c r="F141" s="391">
        <f>SUM(F135:F140)</f>
        <v>891.71815488777008</v>
      </c>
    </row>
    <row r="142" spans="1:6" ht="14">
      <c r="A142" s="15"/>
      <c r="B142" s="92"/>
      <c r="C142" s="58"/>
      <c r="D142" s="307"/>
      <c r="E142" s="83"/>
      <c r="F142" s="161"/>
    </row>
    <row r="143" spans="1:6" ht="14">
      <c r="A143" s="15"/>
      <c r="B143" s="92"/>
      <c r="C143" s="56" t="s">
        <v>91</v>
      </c>
      <c r="D143" s="317"/>
      <c r="E143" s="79" t="s">
        <v>35</v>
      </c>
      <c r="F143" s="391">
        <f>+F141+F133+F125</f>
        <v>14438.934225246954</v>
      </c>
    </row>
    <row r="144" spans="1:6" ht="12.75" customHeight="1">
      <c r="A144" s="15"/>
      <c r="B144" s="92"/>
      <c r="C144" s="58"/>
      <c r="D144" s="307"/>
      <c r="E144" s="81"/>
      <c r="F144" s="161"/>
    </row>
    <row r="145" spans="1:6" ht="14">
      <c r="A145" s="15"/>
      <c r="B145" s="92"/>
      <c r="C145" s="449" t="s">
        <v>71</v>
      </c>
      <c r="D145" s="312"/>
      <c r="E145" s="79"/>
      <c r="F145" s="168"/>
    </row>
    <row r="146" spans="1:6" ht="14">
      <c r="A146" s="15"/>
      <c r="B146" s="92"/>
      <c r="C146" s="59" t="s">
        <v>72</v>
      </c>
      <c r="D146" s="307"/>
      <c r="E146" s="81"/>
      <c r="F146" s="161"/>
    </row>
    <row r="147" spans="1:6" ht="14">
      <c r="A147" s="15"/>
      <c r="B147" s="92"/>
      <c r="C147" s="58" t="s">
        <v>219</v>
      </c>
      <c r="D147" s="307"/>
      <c r="E147" s="81"/>
      <c r="F147" s="387">
        <f>+'Analyst Guide'!F173</f>
        <v>7927.2640000000001</v>
      </c>
    </row>
    <row r="148" spans="1:6" ht="14">
      <c r="A148" s="15"/>
      <c r="B148" s="92"/>
      <c r="C148" s="58" t="s">
        <v>75</v>
      </c>
      <c r="D148" s="438" t="s">
        <v>537</v>
      </c>
      <c r="E148" s="173"/>
      <c r="F148" s="387">
        <v>300</v>
      </c>
    </row>
    <row r="149" spans="1:6" ht="14">
      <c r="A149" s="15"/>
      <c r="B149" s="92"/>
      <c r="C149" s="58" t="s">
        <v>220</v>
      </c>
      <c r="D149" s="438"/>
      <c r="E149" s="173"/>
      <c r="F149" s="387">
        <f>+F147+F148</f>
        <v>8227.2639999999992</v>
      </c>
    </row>
    <row r="150" spans="1:6" ht="14">
      <c r="A150" s="15"/>
      <c r="B150" s="92"/>
      <c r="C150" s="58" t="s">
        <v>221</v>
      </c>
      <c r="D150" s="438"/>
      <c r="E150" s="173"/>
      <c r="F150" s="387">
        <f>'Analyst Guide'!F174</f>
        <v>3454.8810000000003</v>
      </c>
    </row>
    <row r="151" spans="1:6" ht="14">
      <c r="A151" s="15"/>
      <c r="B151" s="92"/>
      <c r="C151" s="58" t="s">
        <v>74</v>
      </c>
      <c r="D151" s="438" t="s">
        <v>344</v>
      </c>
      <c r="E151" s="81"/>
      <c r="F151" s="384">
        <f>F149*'Analyst Guide'!F177</f>
        <v>216.97272086611471</v>
      </c>
    </row>
    <row r="152" spans="1:6" ht="14">
      <c r="A152" s="15"/>
      <c r="B152" s="92"/>
      <c r="C152" s="58" t="s">
        <v>222</v>
      </c>
      <c r="D152" s="438"/>
      <c r="E152" s="81"/>
      <c r="F152" s="384">
        <f>F150+F151</f>
        <v>3671.8537208661151</v>
      </c>
    </row>
    <row r="153" spans="1:6" ht="14">
      <c r="A153" s="15"/>
      <c r="B153" s="92"/>
      <c r="C153" s="56" t="s">
        <v>76</v>
      </c>
      <c r="D153" s="317"/>
      <c r="E153" s="79" t="s">
        <v>35</v>
      </c>
      <c r="F153" s="391">
        <f>F149-F152</f>
        <v>4555.4102791338846</v>
      </c>
    </row>
    <row r="154" spans="1:6" ht="14">
      <c r="A154" s="15"/>
      <c r="B154" s="92"/>
      <c r="C154" s="55"/>
      <c r="D154" s="307"/>
      <c r="E154" s="81"/>
      <c r="F154" s="161"/>
    </row>
    <row r="155" spans="1:6" ht="14">
      <c r="A155" s="15"/>
      <c r="B155" s="92"/>
      <c r="C155" s="59" t="s">
        <v>103</v>
      </c>
      <c r="D155" s="307"/>
      <c r="E155" s="81"/>
      <c r="F155" s="161"/>
    </row>
    <row r="156" spans="1:6" ht="14">
      <c r="A156" s="15"/>
      <c r="B156" s="92"/>
      <c r="C156" s="58" t="s">
        <v>73</v>
      </c>
      <c r="D156" s="307"/>
      <c r="E156" s="81"/>
      <c r="F156" s="382">
        <f>'Analyst Guide'!F198</f>
        <v>2671.2469999999998</v>
      </c>
    </row>
    <row r="157" spans="1:6" ht="14">
      <c r="A157" s="15"/>
      <c r="B157" s="92"/>
      <c r="C157" s="58" t="s">
        <v>270</v>
      </c>
      <c r="D157" s="438" t="s">
        <v>271</v>
      </c>
      <c r="E157" s="81"/>
      <c r="F157" s="382">
        <f>'Analyst Guide'!F194</f>
        <v>204.428</v>
      </c>
    </row>
    <row r="158" spans="1:6" ht="14">
      <c r="A158" s="15"/>
      <c r="B158" s="92"/>
      <c r="C158" s="58" t="s">
        <v>258</v>
      </c>
      <c r="D158" s="438" t="s">
        <v>459</v>
      </c>
      <c r="E158" s="81"/>
      <c r="F158" s="382">
        <f>'Analyst Guide'!F195/1.66*F49</f>
        <v>20.034638554216869</v>
      </c>
    </row>
    <row r="159" spans="1:6" ht="28">
      <c r="A159" s="15"/>
      <c r="B159" s="92"/>
      <c r="C159" s="58" t="s">
        <v>272</v>
      </c>
      <c r="D159" s="438" t="s">
        <v>321</v>
      </c>
      <c r="E159" s="81"/>
      <c r="F159" s="382">
        <f>'Analyst Guide'!F197*(1+F49/100*60%)</f>
        <v>-359.85381250000006</v>
      </c>
    </row>
    <row r="160" spans="1:6" ht="14">
      <c r="A160" s="15"/>
      <c r="B160" s="92"/>
      <c r="C160" s="58" t="s">
        <v>75</v>
      </c>
      <c r="D160" s="438" t="s">
        <v>170</v>
      </c>
      <c r="E160" s="81"/>
      <c r="F160" s="380">
        <v>0</v>
      </c>
    </row>
    <row r="161" spans="1:6" ht="14">
      <c r="A161" s="15"/>
      <c r="B161" s="92"/>
      <c r="C161" s="58" t="s">
        <v>104</v>
      </c>
      <c r="D161" s="438"/>
      <c r="E161" s="81"/>
      <c r="F161" s="380">
        <v>0</v>
      </c>
    </row>
    <row r="162" spans="1:6" ht="14">
      <c r="A162" s="15"/>
      <c r="B162" s="92"/>
      <c r="C162" s="56" t="s">
        <v>77</v>
      </c>
      <c r="D162" s="317"/>
      <c r="E162" s="79" t="s">
        <v>35</v>
      </c>
      <c r="F162" s="391">
        <f>SUM(F156:F161)</f>
        <v>2535.8558260542168</v>
      </c>
    </row>
    <row r="163" spans="1:6" ht="14">
      <c r="A163" s="15"/>
      <c r="B163" s="92"/>
      <c r="C163" s="55"/>
      <c r="D163" s="307"/>
      <c r="E163" s="81"/>
      <c r="F163" s="161"/>
    </row>
    <row r="164" spans="1:6" ht="14">
      <c r="A164" s="15"/>
      <c r="B164" s="92"/>
      <c r="C164" s="59" t="s">
        <v>92</v>
      </c>
      <c r="D164" s="307"/>
      <c r="E164" s="81"/>
      <c r="F164" s="161"/>
    </row>
    <row r="165" spans="1:6" ht="14">
      <c r="A165" s="15"/>
      <c r="B165" s="92"/>
      <c r="C165" s="59" t="s">
        <v>332</v>
      </c>
      <c r="D165" s="438" t="s">
        <v>271</v>
      </c>
      <c r="E165" s="81"/>
      <c r="F165" s="451">
        <v>86.673000000000002</v>
      </c>
    </row>
    <row r="166" spans="1:6" ht="14">
      <c r="A166" s="15"/>
      <c r="B166" s="92"/>
      <c r="C166" s="55"/>
      <c r="D166" s="450"/>
      <c r="E166" s="82"/>
      <c r="F166" s="93"/>
    </row>
    <row r="167" spans="1:6" ht="14">
      <c r="A167" s="15"/>
      <c r="B167" s="92"/>
      <c r="C167" s="58" t="s">
        <v>78</v>
      </c>
      <c r="D167" s="438"/>
      <c r="E167" s="81"/>
      <c r="F167" s="380">
        <f>F16</f>
        <v>2557.7946335842926</v>
      </c>
    </row>
    <row r="168" spans="1:6" ht="14">
      <c r="A168" s="15"/>
      <c r="B168" s="92"/>
      <c r="C168" s="58" t="s">
        <v>15</v>
      </c>
      <c r="D168" s="438" t="s">
        <v>271</v>
      </c>
      <c r="E168" s="81" t="s">
        <v>331</v>
      </c>
      <c r="F168" s="380">
        <f>'Analyst Guide'!$F$219</f>
        <v>62</v>
      </c>
    </row>
    <row r="169" spans="1:6" ht="14">
      <c r="A169" s="15"/>
      <c r="B169" s="92"/>
      <c r="C169" s="59" t="s">
        <v>334</v>
      </c>
      <c r="D169" s="316"/>
      <c r="E169" s="81"/>
      <c r="F169" s="392">
        <f>F167*F168/365</f>
        <v>434.47470488281135</v>
      </c>
    </row>
    <row r="170" spans="1:6" ht="14">
      <c r="A170" s="15"/>
      <c r="B170" s="92"/>
      <c r="C170" s="56" t="s">
        <v>333</v>
      </c>
      <c r="D170" s="317"/>
      <c r="E170" s="79" t="s">
        <v>35</v>
      </c>
      <c r="F170" s="391">
        <f>F169+F165</f>
        <v>521.14770488281135</v>
      </c>
    </row>
    <row r="171" spans="1:6" ht="12.75" customHeight="1">
      <c r="A171" s="15"/>
      <c r="B171" s="92"/>
      <c r="C171" s="58"/>
      <c r="D171" s="307"/>
      <c r="E171" s="81"/>
      <c r="F171" s="161"/>
    </row>
    <row r="172" spans="1:6" ht="14">
      <c r="A172" s="15"/>
      <c r="B172" s="92"/>
      <c r="C172" s="59" t="s">
        <v>482</v>
      </c>
      <c r="D172" s="438" t="s">
        <v>271</v>
      </c>
      <c r="E172" s="81"/>
      <c r="F172" s="447">
        <v>489.50900000000001</v>
      </c>
    </row>
    <row r="173" spans="1:6" ht="14">
      <c r="A173" s="15"/>
      <c r="B173" s="92"/>
      <c r="C173" s="59" t="s">
        <v>187</v>
      </c>
      <c r="D173" s="438" t="s">
        <v>271</v>
      </c>
      <c r="E173" s="81"/>
      <c r="F173" s="447">
        <v>354.08100000000002</v>
      </c>
    </row>
    <row r="174" spans="1:6" ht="14">
      <c r="A174" s="15"/>
      <c r="B174" s="92"/>
      <c r="C174" s="55"/>
      <c r="D174" s="446"/>
      <c r="E174" s="82"/>
      <c r="F174" s="93"/>
    </row>
    <row r="175" spans="1:6" ht="14">
      <c r="A175" s="15"/>
      <c r="B175" s="92"/>
      <c r="C175" s="58" t="s">
        <v>335</v>
      </c>
      <c r="D175" s="438"/>
      <c r="E175" s="81"/>
      <c r="F175" s="380">
        <f>-(F18+F22)</f>
        <v>1361.0638068170629</v>
      </c>
    </row>
    <row r="176" spans="1:6" ht="14">
      <c r="A176" s="15"/>
      <c r="B176" s="92"/>
      <c r="C176" s="58" t="s">
        <v>17</v>
      </c>
      <c r="D176" s="438" t="s">
        <v>271</v>
      </c>
      <c r="E176" s="81" t="s">
        <v>331</v>
      </c>
      <c r="F176" s="380">
        <f>'Analyst Guide'!$F$220</f>
        <v>49</v>
      </c>
    </row>
    <row r="177" spans="1:6" ht="14">
      <c r="A177" s="15"/>
      <c r="B177" s="92"/>
      <c r="C177" s="59" t="s">
        <v>341</v>
      </c>
      <c r="D177" s="446"/>
      <c r="E177" s="81"/>
      <c r="F177" s="392">
        <f>F175*F176/365</f>
        <v>182.71815488777008</v>
      </c>
    </row>
    <row r="178" spans="1:6" ht="14">
      <c r="A178" s="15"/>
      <c r="B178" s="92"/>
      <c r="C178" s="56" t="s">
        <v>93</v>
      </c>
      <c r="D178" s="317"/>
      <c r="E178" s="79" t="s">
        <v>35</v>
      </c>
      <c r="F178" s="391">
        <f>F177+F172+F173</f>
        <v>1026.3081548877701</v>
      </c>
    </row>
    <row r="179" spans="1:6" ht="12.75" customHeight="1">
      <c r="A179" s="15"/>
      <c r="B179" s="92"/>
      <c r="C179" s="58"/>
      <c r="D179" s="307"/>
      <c r="E179" s="81"/>
      <c r="F179" s="161"/>
    </row>
    <row r="180" spans="1:6" ht="14">
      <c r="A180" s="15"/>
      <c r="B180" s="92"/>
      <c r="C180" s="59" t="s">
        <v>337</v>
      </c>
      <c r="D180" s="307"/>
      <c r="E180" s="81"/>
      <c r="F180" s="161"/>
    </row>
    <row r="181" spans="1:6" ht="14">
      <c r="A181" s="15"/>
      <c r="B181" s="92"/>
      <c r="C181" s="58" t="s">
        <v>73</v>
      </c>
      <c r="D181" s="307"/>
      <c r="E181" s="81"/>
      <c r="F181" s="447">
        <f>488.868+1234.945</f>
        <v>1723.8129999999999</v>
      </c>
    </row>
    <row r="182" spans="1:6" ht="14">
      <c r="A182" s="15"/>
      <c r="B182" s="92"/>
      <c r="C182" s="58" t="s">
        <v>94</v>
      </c>
      <c r="D182" s="307"/>
      <c r="E182" s="81"/>
      <c r="F182" s="384">
        <f>F28</f>
        <v>2.254</v>
      </c>
    </row>
    <row r="183" spans="1:6" ht="14">
      <c r="A183" s="15"/>
      <c r="B183" s="92"/>
      <c r="C183" s="58" t="s">
        <v>95</v>
      </c>
      <c r="D183" s="438" t="s">
        <v>271</v>
      </c>
      <c r="E183" s="81"/>
      <c r="F183" s="447">
        <f>-46.126-2.5</f>
        <v>-48.625999999999998</v>
      </c>
    </row>
    <row r="184" spans="1:6" ht="14">
      <c r="A184" s="15"/>
      <c r="B184" s="92"/>
      <c r="C184" s="58" t="s">
        <v>145</v>
      </c>
      <c r="D184" s="438" t="s">
        <v>336</v>
      </c>
      <c r="E184" s="81"/>
      <c r="F184" s="448">
        <v>0</v>
      </c>
    </row>
    <row r="185" spans="1:6" ht="14">
      <c r="A185" s="15"/>
      <c r="B185" s="92"/>
      <c r="C185" s="58" t="s">
        <v>171</v>
      </c>
      <c r="D185" s="307"/>
      <c r="E185" s="81"/>
      <c r="F185" s="174">
        <v>0</v>
      </c>
    </row>
    <row r="186" spans="1:6" ht="14">
      <c r="A186" s="15"/>
      <c r="B186" s="92"/>
      <c r="C186" s="56" t="s">
        <v>96</v>
      </c>
      <c r="D186" s="317"/>
      <c r="E186" s="79" t="s">
        <v>35</v>
      </c>
      <c r="F186" s="391">
        <f>SUM(F181:F185)</f>
        <v>1677.4409999999998</v>
      </c>
    </row>
    <row r="187" spans="1:6" ht="12.75" customHeight="1">
      <c r="A187" s="15"/>
      <c r="B187" s="92"/>
      <c r="C187" s="58"/>
      <c r="D187" s="307"/>
      <c r="E187" s="81"/>
      <c r="F187" s="175"/>
    </row>
    <row r="188" spans="1:6" ht="12.75" customHeight="1">
      <c r="A188" s="15"/>
      <c r="B188" s="92"/>
      <c r="C188" s="59" t="s">
        <v>338</v>
      </c>
      <c r="D188" s="438" t="s">
        <v>327</v>
      </c>
      <c r="E188" s="81" t="s">
        <v>35</v>
      </c>
      <c r="F188" s="380">
        <v>625.30799999999999</v>
      </c>
    </row>
    <row r="189" spans="1:6" ht="12.75" customHeight="1">
      <c r="A189" s="15"/>
      <c r="B189" s="92"/>
      <c r="C189" s="59"/>
      <c r="D189" s="438"/>
      <c r="E189" s="81"/>
      <c r="F189" s="161"/>
    </row>
    <row r="190" spans="1:6" ht="12.75" customHeight="1">
      <c r="A190" s="15"/>
      <c r="B190" s="176"/>
      <c r="C190" s="177" t="s">
        <v>339</v>
      </c>
      <c r="D190" s="452" t="s">
        <v>271</v>
      </c>
      <c r="E190" s="178" t="s">
        <v>35</v>
      </c>
      <c r="F190" s="393">
        <v>47.643000000000001</v>
      </c>
    </row>
    <row r="191" spans="1:6" ht="3" customHeight="1">
      <c r="A191" s="15"/>
    </row>
  </sheetData>
  <sheetProtection algorithmName="SHA-512" hashValue="EFcmm+C0YhGsZYlACZAyTufXXuazlzK2PuvrsNeCyR67qJC15hZ5k+T6NBzlVkOvAeY1Wgw6MNPhu77jxXm3kA==" saltValue="DWF+ropO+dfeaYX2uodl6Q==" spinCount="100000" sheet="1" objects="1" scenarios="1"/>
  <pageMargins left="0.7" right="0.7" top="0.75" bottom="0.75" header="0.3" footer="0.3"/>
  <pageSetup paperSize="9" scale="62" fitToHeight="0" orientation="portrait" r:id="rId1"/>
  <headerFooter>
    <oddFooter>&amp;C&amp;K0303FE&amp;10&amp;"Calibri"Classification: Internal</oddFooter>
  </headerFooter>
  <rowBreaks count="2" manualBreakCount="2">
    <brk id="65" max="16383" man="1"/>
    <brk id="16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C2FE-43B0-48E5-AA16-1118479766DC}">
  <dimension ref="A1:T30"/>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5" style="187" customWidth="1"/>
    <col min="18" max="18" width="8.796875" style="187" hidden="1" customWidth="1"/>
    <col min="19" max="20" width="0" style="187" hidden="1" customWidth="1"/>
    <col min="21" max="16384" width="8.796875" style="187" hidden="1"/>
  </cols>
  <sheetData>
    <row r="1" spans="1:17" ht="3" customHeight="1">
      <c r="C1" s="188"/>
    </row>
    <row r="2" spans="1:17" ht="17" customHeight="1">
      <c r="A2" s="201"/>
      <c r="B2" s="160"/>
      <c r="C2" s="204"/>
      <c r="D2" s="204"/>
      <c r="E2" s="204"/>
      <c r="F2" s="204"/>
      <c r="G2" s="204"/>
      <c r="H2" s="204"/>
      <c r="I2" s="204"/>
      <c r="J2" s="204"/>
      <c r="K2" s="204"/>
      <c r="L2" s="204"/>
      <c r="M2" s="204"/>
      <c r="N2" s="204"/>
      <c r="O2" s="204"/>
      <c r="P2" s="222"/>
    </row>
    <row r="3" spans="1:17" ht="17" customHeight="1">
      <c r="A3" s="201"/>
      <c r="B3" s="205"/>
      <c r="C3" s="206"/>
      <c r="D3" s="188"/>
      <c r="E3" s="188"/>
      <c r="F3" s="188"/>
      <c r="G3" s="188"/>
      <c r="H3" s="188"/>
      <c r="I3" s="188"/>
      <c r="J3" s="188"/>
      <c r="K3" s="188"/>
      <c r="L3" s="188"/>
      <c r="M3" s="188"/>
      <c r="N3" s="188"/>
      <c r="O3" s="188"/>
      <c r="P3" s="207"/>
    </row>
    <row r="4" spans="1:17" ht="17" customHeight="1">
      <c r="A4" s="202"/>
      <c r="B4" s="397" t="s">
        <v>227</v>
      </c>
      <c r="C4" s="206"/>
      <c r="D4" s="188"/>
      <c r="E4" s="188"/>
      <c r="F4" s="188"/>
      <c r="G4" s="188"/>
      <c r="H4" s="188"/>
      <c r="I4" s="188"/>
      <c r="J4" s="188"/>
      <c r="K4" s="188"/>
      <c r="L4" s="188"/>
      <c r="M4" s="188"/>
      <c r="N4" s="188"/>
      <c r="O4" s="188"/>
      <c r="P4" s="207"/>
    </row>
    <row r="5" spans="1:17" ht="17" customHeight="1">
      <c r="A5" s="203"/>
      <c r="B5" s="397" t="s">
        <v>276</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IF(Q2&lt;Q3,P2," ")</f>
        <v xml:space="preserve"> </v>
      </c>
    </row>
    <row r="7" spans="1:17" ht="14" customHeight="1" thickBot="1">
      <c r="B7" s="209"/>
      <c r="C7" s="504" t="s">
        <v>346</v>
      </c>
      <c r="D7" s="504"/>
      <c r="E7" s="504"/>
      <c r="F7" s="504"/>
      <c r="G7" s="504"/>
      <c r="H7" s="329"/>
      <c r="I7" s="504" t="s">
        <v>356</v>
      </c>
      <c r="J7" s="504"/>
      <c r="K7" s="504"/>
      <c r="L7" s="504"/>
      <c r="M7" s="504"/>
      <c r="N7" s="504"/>
      <c r="O7" s="504"/>
      <c r="P7" s="505"/>
    </row>
    <row r="8" spans="1:17" ht="14" customHeight="1" thickBot="1">
      <c r="B8" s="454"/>
      <c r="C8" s="455" t="s">
        <v>353</v>
      </c>
      <c r="D8" s="455" t="s">
        <v>354</v>
      </c>
      <c r="E8" s="455" t="s">
        <v>355</v>
      </c>
      <c r="F8" s="455" t="s">
        <v>468</v>
      </c>
      <c r="G8" s="455" t="s">
        <v>538</v>
      </c>
      <c r="H8" s="456"/>
      <c r="I8" s="455" t="s">
        <v>345</v>
      </c>
      <c r="J8" s="455" t="s">
        <v>464</v>
      </c>
      <c r="K8" s="455" t="s">
        <v>473</v>
      </c>
      <c r="L8" s="455" t="s">
        <v>487</v>
      </c>
      <c r="M8" s="455" t="s">
        <v>490</v>
      </c>
      <c r="N8" s="455" t="s">
        <v>494</v>
      </c>
      <c r="O8" s="455" t="s">
        <v>539</v>
      </c>
      <c r="P8" s="457" t="s">
        <v>543</v>
      </c>
    </row>
    <row r="9" spans="1:17" ht="14" customHeight="1">
      <c r="A9" s="189"/>
      <c r="B9" s="458" t="s">
        <v>488</v>
      </c>
      <c r="C9" s="212"/>
      <c r="D9" s="212"/>
      <c r="E9" s="212"/>
      <c r="F9" s="212"/>
      <c r="G9" s="212"/>
      <c r="H9" s="213"/>
      <c r="I9" s="212"/>
      <c r="J9" s="212"/>
      <c r="K9" s="212"/>
      <c r="L9" s="212"/>
      <c r="M9" s="212"/>
      <c r="N9" s="212"/>
      <c r="O9" s="212"/>
      <c r="P9" s="214"/>
    </row>
    <row r="10" spans="1:17" ht="14" customHeight="1">
      <c r="A10" s="189"/>
      <c r="B10" s="211" t="s">
        <v>13</v>
      </c>
      <c r="C10" s="212"/>
      <c r="D10" s="212"/>
      <c r="E10" s="212"/>
      <c r="F10" s="212"/>
      <c r="G10" s="212"/>
      <c r="H10" s="213"/>
      <c r="I10" s="212"/>
      <c r="J10" s="212"/>
      <c r="K10" s="212"/>
      <c r="L10" s="212"/>
      <c r="M10" s="212"/>
      <c r="N10" s="212"/>
      <c r="O10" s="212"/>
      <c r="P10" s="214"/>
    </row>
    <row r="11" spans="1:17">
      <c r="A11" s="190"/>
      <c r="B11" s="215" t="s">
        <v>347</v>
      </c>
      <c r="C11" s="330">
        <v>1025.425</v>
      </c>
      <c r="D11" s="330">
        <v>1059.8789999999999</v>
      </c>
      <c r="E11" s="330">
        <v>1052.6379999999999</v>
      </c>
      <c r="F11" s="330">
        <v>1066.152</v>
      </c>
      <c r="G11" s="330">
        <v>1099.4970000000001</v>
      </c>
      <c r="H11" s="330"/>
      <c r="I11" s="330">
        <v>1056.864</v>
      </c>
      <c r="J11" s="330">
        <v>1062.4079999999999</v>
      </c>
      <c r="K11" s="330">
        <v>1066.152</v>
      </c>
      <c r="L11" s="330">
        <v>1070.751</v>
      </c>
      <c r="M11" s="330">
        <v>1084.184</v>
      </c>
      <c r="N11" s="330">
        <v>1095.2449999999999</v>
      </c>
      <c r="O11" s="330">
        <v>1099.4970000000001</v>
      </c>
      <c r="P11" s="221">
        <v>1099.6469999999999</v>
      </c>
    </row>
    <row r="12" spans="1:17">
      <c r="A12" s="190"/>
      <c r="B12" s="215" t="s">
        <v>348</v>
      </c>
      <c r="C12" s="330">
        <v>32.552999999999997</v>
      </c>
      <c r="D12" s="330">
        <v>51.756</v>
      </c>
      <c r="E12" s="330">
        <v>52.731000000000002</v>
      </c>
      <c r="F12" s="330">
        <v>54.536000000000001</v>
      </c>
      <c r="G12" s="330">
        <v>56.036000000000001</v>
      </c>
      <c r="H12" s="216"/>
      <c r="I12" s="330">
        <v>53.151000000000003</v>
      </c>
      <c r="J12" s="330">
        <v>53.151000000000003</v>
      </c>
      <c r="K12" s="330">
        <v>54.536000000000001</v>
      </c>
      <c r="L12" s="330">
        <v>54.536000000000001</v>
      </c>
      <c r="M12" s="330">
        <v>55.035499999999999</v>
      </c>
      <c r="N12" s="330">
        <v>55.284999999999997</v>
      </c>
      <c r="O12" s="330">
        <v>56.036000000000001</v>
      </c>
      <c r="P12" s="221">
        <v>56.036000000000001</v>
      </c>
    </row>
    <row r="13" spans="1:17">
      <c r="A13" s="190"/>
      <c r="B13" s="215" t="s">
        <v>38</v>
      </c>
      <c r="C13" s="330">
        <v>33.479999999999997</v>
      </c>
      <c r="D13" s="330">
        <v>33.979999999999997</v>
      </c>
      <c r="E13" s="330">
        <v>36.965000000000003</v>
      </c>
      <c r="F13" s="330">
        <v>36.965000000000003</v>
      </c>
      <c r="G13" s="330">
        <v>37.262999999999998</v>
      </c>
      <c r="H13" s="216"/>
      <c r="I13" s="330">
        <v>36.965000000000003</v>
      </c>
      <c r="J13" s="330">
        <v>36.965000000000003</v>
      </c>
      <c r="K13" s="330">
        <v>36.965000000000003</v>
      </c>
      <c r="L13" s="330">
        <v>36.965000000000003</v>
      </c>
      <c r="M13" s="330">
        <v>37.000999999999998</v>
      </c>
      <c r="N13" s="330">
        <v>37.000999999999998</v>
      </c>
      <c r="O13" s="330">
        <v>37.262999999999998</v>
      </c>
      <c r="P13" s="221">
        <v>37.485999999999997</v>
      </c>
    </row>
    <row r="14" spans="1:17">
      <c r="A14" s="190"/>
      <c r="B14" s="215" t="s">
        <v>180</v>
      </c>
      <c r="C14" s="330">
        <v>0</v>
      </c>
      <c r="D14" s="330">
        <v>0</v>
      </c>
      <c r="E14" s="330">
        <v>1</v>
      </c>
      <c r="F14" s="330">
        <v>4</v>
      </c>
      <c r="G14" s="330">
        <v>5.5579999999999998</v>
      </c>
      <c r="H14" s="216"/>
      <c r="I14" s="330">
        <v>1</v>
      </c>
      <c r="J14" s="330">
        <v>4</v>
      </c>
      <c r="K14" s="330">
        <v>4</v>
      </c>
      <c r="L14" s="330">
        <v>4</v>
      </c>
      <c r="M14" s="330">
        <v>5.5579999999999998</v>
      </c>
      <c r="N14" s="330">
        <v>5.5579999999999998</v>
      </c>
      <c r="O14" s="330">
        <v>5.5579999999999998</v>
      </c>
      <c r="P14" s="221">
        <v>5.5579999999999998</v>
      </c>
    </row>
    <row r="15" spans="1:17">
      <c r="A15" s="190"/>
      <c r="B15" s="215" t="s">
        <v>181</v>
      </c>
      <c r="C15" s="330">
        <v>0</v>
      </c>
      <c r="D15" s="330">
        <v>0</v>
      </c>
      <c r="E15" s="330">
        <v>3</v>
      </c>
      <c r="F15" s="330">
        <v>4.5</v>
      </c>
      <c r="G15" s="330">
        <v>6</v>
      </c>
      <c r="H15" s="216"/>
      <c r="I15" s="330">
        <v>3</v>
      </c>
      <c r="J15" s="330">
        <v>4.5</v>
      </c>
      <c r="K15" s="330">
        <v>4.5</v>
      </c>
      <c r="L15" s="330">
        <v>4.5</v>
      </c>
      <c r="M15" s="330">
        <v>6</v>
      </c>
      <c r="N15" s="330">
        <v>6</v>
      </c>
      <c r="O15" s="330">
        <v>6</v>
      </c>
      <c r="P15" s="221">
        <v>6</v>
      </c>
    </row>
    <row r="16" spans="1:17">
      <c r="B16" s="211" t="s">
        <v>349</v>
      </c>
      <c r="C16" s="471">
        <f>SUM(C11:C15)</f>
        <v>1091.4580000000001</v>
      </c>
      <c r="D16" s="471">
        <f t="shared" ref="D16:G16" si="0">SUM(D11:D15)</f>
        <v>1145.615</v>
      </c>
      <c r="E16" s="471">
        <f t="shared" si="0"/>
        <v>1146.3339999999998</v>
      </c>
      <c r="F16" s="471">
        <f t="shared" si="0"/>
        <v>1166.153</v>
      </c>
      <c r="G16" s="471">
        <f t="shared" si="0"/>
        <v>1204.354</v>
      </c>
      <c r="H16" s="472"/>
      <c r="I16" s="471">
        <f t="shared" ref="I16:P16" si="1">SUM(I11:I15)</f>
        <v>1150.98</v>
      </c>
      <c r="J16" s="471">
        <f t="shared" si="1"/>
        <v>1161.0239999999999</v>
      </c>
      <c r="K16" s="471">
        <f t="shared" ref="K16:O16" si="2">SUM(K11:K15)</f>
        <v>1166.153</v>
      </c>
      <c r="L16" s="471">
        <f t="shared" si="2"/>
        <v>1170.752</v>
      </c>
      <c r="M16" s="471">
        <f t="shared" si="2"/>
        <v>1187.7784999999999</v>
      </c>
      <c r="N16" s="471">
        <f t="shared" si="2"/>
        <v>1199.0889999999999</v>
      </c>
      <c r="O16" s="471">
        <f t="shared" si="2"/>
        <v>1204.354</v>
      </c>
      <c r="P16" s="473">
        <f t="shared" si="1"/>
        <v>1204.7270000000001</v>
      </c>
    </row>
    <row r="17" spans="1:16">
      <c r="B17" s="211" t="s">
        <v>350</v>
      </c>
      <c r="C17" s="191"/>
      <c r="D17" s="191"/>
      <c r="E17" s="191"/>
      <c r="F17" s="191"/>
      <c r="G17" s="191"/>
      <c r="H17" s="216"/>
      <c r="I17" s="191"/>
      <c r="J17" s="191"/>
      <c r="K17" s="191"/>
      <c r="L17" s="191"/>
      <c r="M17" s="191"/>
      <c r="N17" s="191"/>
      <c r="O17" s="191"/>
      <c r="P17" s="217"/>
    </row>
    <row r="18" spans="1:16">
      <c r="A18" s="189"/>
      <c r="B18" s="215" t="s">
        <v>347</v>
      </c>
      <c r="C18" s="330">
        <v>8.73</v>
      </c>
      <c r="D18" s="330">
        <v>8.73</v>
      </c>
      <c r="E18" s="330">
        <v>33.011000000000003</v>
      </c>
      <c r="F18" s="330">
        <v>33.011000000000003</v>
      </c>
      <c r="G18" s="330">
        <v>223.85499999999999</v>
      </c>
      <c r="H18" s="216"/>
      <c r="I18" s="330">
        <v>33.011000000000003</v>
      </c>
      <c r="J18" s="330">
        <v>33.011000000000003</v>
      </c>
      <c r="K18" s="330">
        <v>33.011000000000003</v>
      </c>
      <c r="L18" s="330">
        <v>33.011000000000003</v>
      </c>
      <c r="M18" s="330">
        <v>33.011000000000003</v>
      </c>
      <c r="N18" s="330">
        <v>33.011000000000003</v>
      </c>
      <c r="O18" s="330">
        <v>223.85499999999999</v>
      </c>
      <c r="P18" s="221">
        <v>223.85499999999999</v>
      </c>
    </row>
    <row r="19" spans="1:16">
      <c r="A19" s="189"/>
      <c r="B19" s="215" t="s">
        <v>351</v>
      </c>
      <c r="C19" s="330">
        <v>109.908</v>
      </c>
      <c r="D19" s="330">
        <v>109.908</v>
      </c>
      <c r="E19" s="330">
        <v>124.071</v>
      </c>
      <c r="F19" s="330">
        <v>125.60899999999999</v>
      </c>
      <c r="G19" s="330">
        <v>145.60900000000001</v>
      </c>
      <c r="H19" s="216"/>
      <c r="I19" s="330">
        <v>124.071</v>
      </c>
      <c r="J19" s="330">
        <v>124.071</v>
      </c>
      <c r="K19" s="330">
        <v>125.60899999999999</v>
      </c>
      <c r="L19" s="330">
        <v>125.60899999999999</v>
      </c>
      <c r="M19" s="330">
        <v>145.60900000000001</v>
      </c>
      <c r="N19" s="330">
        <v>145.60900000000001</v>
      </c>
      <c r="O19" s="330">
        <v>145.60900000000001</v>
      </c>
      <c r="P19" s="221">
        <v>145.60900000000001</v>
      </c>
    </row>
    <row r="20" spans="1:16" ht="16" thickBot="1">
      <c r="B20" s="211" t="s">
        <v>471</v>
      </c>
      <c r="C20" s="471">
        <f>SUM(C18:C19)</f>
        <v>118.63800000000001</v>
      </c>
      <c r="D20" s="471">
        <f t="shared" ref="D20:G20" si="3">SUM(D18:D19)</f>
        <v>118.63800000000001</v>
      </c>
      <c r="E20" s="471">
        <f t="shared" si="3"/>
        <v>157.08199999999999</v>
      </c>
      <c r="F20" s="471">
        <f t="shared" si="3"/>
        <v>158.62</v>
      </c>
      <c r="G20" s="471">
        <f t="shared" si="3"/>
        <v>369.464</v>
      </c>
      <c r="H20" s="472"/>
      <c r="I20" s="471">
        <f t="shared" ref="I20:P20" si="4">SUM(I18:I19)</f>
        <v>157.08199999999999</v>
      </c>
      <c r="J20" s="471">
        <f t="shared" ref="J20" si="5">SUM(J18:J19)</f>
        <v>157.08199999999999</v>
      </c>
      <c r="K20" s="471">
        <f t="shared" ref="K20:O20" si="6">SUM(K18:K19)</f>
        <v>158.62</v>
      </c>
      <c r="L20" s="471">
        <f t="shared" si="6"/>
        <v>158.62</v>
      </c>
      <c r="M20" s="471">
        <f t="shared" si="6"/>
        <v>178.62</v>
      </c>
      <c r="N20" s="471">
        <f t="shared" si="6"/>
        <v>178.62</v>
      </c>
      <c r="O20" s="471">
        <f t="shared" si="6"/>
        <v>369.464</v>
      </c>
      <c r="P20" s="473">
        <f t="shared" si="4"/>
        <v>369.464</v>
      </c>
    </row>
    <row r="21" spans="1:16" ht="14.5" thickBot="1">
      <c r="A21" s="189"/>
      <c r="B21" s="220" t="s">
        <v>352</v>
      </c>
      <c r="C21" s="474">
        <f>C16+C20</f>
        <v>1210.096</v>
      </c>
      <c r="D21" s="474">
        <f t="shared" ref="D21:G21" si="7">D16+D20</f>
        <v>1264.2529999999999</v>
      </c>
      <c r="E21" s="474">
        <f t="shared" si="7"/>
        <v>1303.4159999999997</v>
      </c>
      <c r="F21" s="474">
        <f t="shared" si="7"/>
        <v>1324.7730000000001</v>
      </c>
      <c r="G21" s="474">
        <f t="shared" si="7"/>
        <v>1573.818</v>
      </c>
      <c r="H21" s="471"/>
      <c r="I21" s="474">
        <f t="shared" ref="I21:P21" si="8">I16+I20</f>
        <v>1308.0619999999999</v>
      </c>
      <c r="J21" s="474">
        <f t="shared" ref="J21" si="9">J16+J20</f>
        <v>1318.1059999999998</v>
      </c>
      <c r="K21" s="474">
        <f t="shared" ref="K21:O21" si="10">K16+K20</f>
        <v>1324.7730000000001</v>
      </c>
      <c r="L21" s="474">
        <f t="shared" si="10"/>
        <v>1329.3719999999998</v>
      </c>
      <c r="M21" s="474">
        <f t="shared" si="10"/>
        <v>1366.3984999999998</v>
      </c>
      <c r="N21" s="474">
        <f t="shared" si="10"/>
        <v>1377.7089999999998</v>
      </c>
      <c r="O21" s="474">
        <f t="shared" si="10"/>
        <v>1573.818</v>
      </c>
      <c r="P21" s="475">
        <f t="shared" si="8"/>
        <v>1574.191</v>
      </c>
    </row>
    <row r="22" spans="1:16">
      <c r="B22" s="331"/>
      <c r="C22" s="191"/>
      <c r="D22" s="191"/>
      <c r="E22" s="191"/>
      <c r="F22" s="191"/>
      <c r="G22" s="191"/>
      <c r="H22" s="191"/>
      <c r="I22" s="191"/>
      <c r="J22" s="191"/>
      <c r="K22" s="191"/>
      <c r="L22" s="191"/>
      <c r="M22" s="191"/>
      <c r="N22" s="191"/>
      <c r="O22" s="191"/>
      <c r="P22" s="217"/>
    </row>
    <row r="23" spans="1:16">
      <c r="A23" s="189"/>
      <c r="B23" s="459" t="s">
        <v>489</v>
      </c>
      <c r="P23" s="236"/>
    </row>
    <row r="24" spans="1:16" ht="15.5">
      <c r="A24" s="189"/>
      <c r="B24" s="332" t="s">
        <v>472</v>
      </c>
      <c r="C24" s="327">
        <v>2.097</v>
      </c>
      <c r="D24" s="327">
        <v>2.3450000000000002</v>
      </c>
      <c r="E24" s="327">
        <v>2.528</v>
      </c>
      <c r="F24" s="327">
        <v>2.6549999999999998</v>
      </c>
      <c r="G24" s="327">
        <v>2.6240000000000001</v>
      </c>
      <c r="H24" s="219"/>
      <c r="I24" s="327">
        <v>0.66700000000000004</v>
      </c>
      <c r="J24" s="327">
        <v>1.0169999999999999</v>
      </c>
      <c r="K24" s="327">
        <v>0.63600000000000001</v>
      </c>
      <c r="L24" s="327">
        <v>0.31</v>
      </c>
      <c r="M24" s="327">
        <v>0.71899999999999997</v>
      </c>
      <c r="N24" s="327">
        <v>0.996</v>
      </c>
      <c r="O24" s="327">
        <v>0.59899999999999998</v>
      </c>
      <c r="P24" s="328">
        <v>0.33800000000000002</v>
      </c>
    </row>
    <row r="25" spans="1:16">
      <c r="A25" s="189"/>
      <c r="B25" s="340"/>
      <c r="C25" s="341"/>
      <c r="D25" s="341"/>
      <c r="E25" s="341"/>
      <c r="F25" s="341"/>
      <c r="G25" s="341"/>
      <c r="H25" s="191"/>
      <c r="I25" s="341"/>
      <c r="J25" s="341"/>
      <c r="K25" s="341"/>
      <c r="L25" s="341"/>
      <c r="M25" s="341"/>
      <c r="N25" s="341"/>
      <c r="O25" s="341"/>
      <c r="P25" s="341"/>
    </row>
    <row r="26" spans="1:16">
      <c r="A26" s="189"/>
      <c r="B26" s="342" t="s">
        <v>469</v>
      </c>
      <c r="C26" s="341"/>
      <c r="D26" s="341"/>
      <c r="E26" s="341"/>
      <c r="F26" s="341"/>
      <c r="G26" s="341"/>
      <c r="H26" s="191"/>
      <c r="I26" s="341"/>
      <c r="J26" s="341"/>
      <c r="K26" s="341"/>
      <c r="L26" s="341"/>
      <c r="M26" s="341"/>
      <c r="N26" s="341"/>
      <c r="O26" s="341"/>
      <c r="P26" s="341"/>
    </row>
    <row r="27" spans="1:16">
      <c r="A27" s="189"/>
      <c r="B27" s="342" t="s">
        <v>470</v>
      </c>
      <c r="C27" s="341"/>
      <c r="D27" s="341"/>
      <c r="E27" s="341"/>
      <c r="F27" s="341"/>
      <c r="G27" s="341"/>
      <c r="H27" s="191"/>
      <c r="I27" s="341"/>
      <c r="J27" s="341"/>
      <c r="K27" s="341"/>
      <c r="L27" s="341"/>
      <c r="M27" s="341"/>
      <c r="N27" s="341"/>
      <c r="O27" s="341"/>
      <c r="P27" s="341"/>
    </row>
    <row r="28" spans="1:16" ht="3.5" customHeight="1">
      <c r="B28" s="192"/>
      <c r="C28" s="191"/>
      <c r="D28" s="191"/>
      <c r="E28" s="191"/>
      <c r="F28" s="191"/>
      <c r="G28" s="191"/>
      <c r="H28" s="191"/>
      <c r="I28" s="191"/>
      <c r="J28" s="191"/>
      <c r="K28" s="191"/>
      <c r="L28" s="191"/>
      <c r="M28" s="191"/>
      <c r="N28" s="191"/>
      <c r="O28" s="191"/>
      <c r="P28" s="191"/>
    </row>
    <row r="29" spans="1:16" hidden="1">
      <c r="B29" s="192"/>
      <c r="C29" s="191"/>
      <c r="D29" s="191"/>
      <c r="E29" s="191"/>
      <c r="F29" s="191"/>
      <c r="G29" s="191"/>
      <c r="H29" s="191"/>
      <c r="I29" s="191"/>
      <c r="J29" s="191"/>
      <c r="K29" s="191"/>
      <c r="L29" s="191"/>
      <c r="M29" s="191"/>
      <c r="N29" s="191"/>
      <c r="O29" s="191"/>
      <c r="P29" s="191"/>
    </row>
    <row r="30" spans="1:16" hidden="1">
      <c r="B30" s="192"/>
      <c r="C30" s="191"/>
      <c r="D30" s="191"/>
      <c r="E30" s="191"/>
      <c r="F30" s="191"/>
      <c r="G30" s="191"/>
      <c r="H30" s="191"/>
      <c r="I30" s="191"/>
      <c r="J30" s="191"/>
      <c r="K30" s="191"/>
      <c r="L30" s="191"/>
      <c r="M30" s="191"/>
      <c r="N30" s="191"/>
      <c r="O30" s="191"/>
      <c r="P30" s="191"/>
    </row>
  </sheetData>
  <sheetProtection algorithmName="SHA-512" hashValue="uNi4reSXH82q1yJaqvvwHEt8qdaUlnX3RlZI0JOiG5X3cKbYg3iqurhweDINAg3X/GIcdWffBFh1MPOGwrMpUw==" saltValue="hADo0H/7Rj0yWcl/5j390g=="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9E70-1DEC-4539-8153-1D2C032ED787}">
  <dimension ref="A1:Q39"/>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3984375" style="187" customWidth="1"/>
    <col min="18" max="16384" width="8.796875" style="187" hidden="1"/>
  </cols>
  <sheetData>
    <row r="1" spans="1:17" ht="3.5" customHeight="1">
      <c r="B1" s="186"/>
      <c r="C1" s="186"/>
    </row>
    <row r="2" spans="1:17" ht="17" customHeight="1">
      <c r="B2" s="160"/>
      <c r="C2" s="233"/>
      <c r="D2" s="234"/>
      <c r="E2" s="234"/>
      <c r="F2" s="234"/>
      <c r="G2" s="234"/>
      <c r="H2" s="234"/>
      <c r="I2" s="234"/>
      <c r="J2" s="234"/>
      <c r="K2" s="234"/>
      <c r="L2" s="234"/>
      <c r="M2" s="234"/>
      <c r="N2" s="234"/>
      <c r="O2" s="234"/>
      <c r="P2" s="235"/>
    </row>
    <row r="3" spans="1:17" ht="17" customHeight="1">
      <c r="B3" s="205"/>
      <c r="C3" s="186"/>
      <c r="P3" s="236"/>
    </row>
    <row r="4" spans="1:17" ht="17" customHeight="1">
      <c r="B4" s="460" t="s">
        <v>227</v>
      </c>
      <c r="C4" s="188"/>
      <c r="D4" s="188"/>
      <c r="E4" s="188"/>
      <c r="F4" s="188"/>
      <c r="G4" s="188"/>
      <c r="H4" s="188"/>
      <c r="I4" s="188"/>
      <c r="J4" s="188"/>
      <c r="K4" s="188"/>
      <c r="L4" s="188"/>
      <c r="M4" s="188"/>
      <c r="N4" s="188"/>
      <c r="O4" s="188"/>
      <c r="P4" s="207"/>
    </row>
    <row r="5" spans="1:17" ht="17" customHeight="1">
      <c r="B5" s="460" t="s">
        <v>277</v>
      </c>
      <c r="C5" s="206"/>
      <c r="D5" s="188"/>
      <c r="E5" s="188"/>
      <c r="F5" s="188"/>
      <c r="G5" s="188"/>
      <c r="H5" s="188"/>
      <c r="I5" s="188"/>
      <c r="J5" s="188"/>
      <c r="K5" s="188"/>
      <c r="L5" s="188"/>
      <c r="M5" s="188"/>
      <c r="N5" s="188"/>
      <c r="O5" s="188"/>
      <c r="P5" s="207"/>
    </row>
    <row r="6" spans="1:17" ht="14" customHeight="1">
      <c r="B6" s="208"/>
      <c r="C6" s="206"/>
      <c r="D6" s="188"/>
      <c r="E6" s="188"/>
      <c r="F6" s="188"/>
      <c r="G6" s="188"/>
      <c r="H6" s="188"/>
      <c r="I6" s="188"/>
      <c r="J6" s="188"/>
      <c r="K6" s="188"/>
      <c r="L6" s="188"/>
      <c r="M6" s="188"/>
      <c r="N6" s="188"/>
      <c r="O6" s="188"/>
      <c r="P6" s="207"/>
      <c r="Q6" s="187" t="str">
        <f>IF(Q4&lt;Q5,P4," ")</f>
        <v xml:space="preserve"> </v>
      </c>
    </row>
    <row r="7" spans="1:17" ht="14" customHeight="1" thickBot="1">
      <c r="B7" s="209"/>
      <c r="C7" s="504" t="s">
        <v>498</v>
      </c>
      <c r="D7" s="504"/>
      <c r="E7" s="504"/>
      <c r="F7" s="504"/>
      <c r="G7" s="504"/>
      <c r="H7" s="210"/>
      <c r="I7" s="210"/>
      <c r="J7" s="210"/>
      <c r="K7" s="504" t="s">
        <v>499</v>
      </c>
      <c r="L7" s="504"/>
      <c r="M7" s="504"/>
      <c r="N7" s="504"/>
      <c r="O7" s="504"/>
      <c r="P7" s="505"/>
    </row>
    <row r="8" spans="1:17" ht="14.5" thickBot="1">
      <c r="B8" s="468" t="s">
        <v>359</v>
      </c>
      <c r="C8" s="455" t="s">
        <v>353</v>
      </c>
      <c r="D8" s="455" t="s">
        <v>354</v>
      </c>
      <c r="E8" s="455" t="s">
        <v>355</v>
      </c>
      <c r="F8" s="455" t="s">
        <v>468</v>
      </c>
      <c r="G8" s="455" t="s">
        <v>538</v>
      </c>
      <c r="H8" s="456"/>
      <c r="I8" s="455" t="s">
        <v>345</v>
      </c>
      <c r="J8" s="455" t="s">
        <v>464</v>
      </c>
      <c r="K8" s="455" t="s">
        <v>473</v>
      </c>
      <c r="L8" s="455" t="s">
        <v>487</v>
      </c>
      <c r="M8" s="455" t="s">
        <v>490</v>
      </c>
      <c r="N8" s="455" t="s">
        <v>494</v>
      </c>
      <c r="O8" s="455" t="s">
        <v>539</v>
      </c>
      <c r="P8" s="457" t="s">
        <v>543</v>
      </c>
    </row>
    <row r="9" spans="1:17">
      <c r="A9" s="189"/>
      <c r="B9" s="211" t="s">
        <v>318</v>
      </c>
      <c r="C9" s="212">
        <v>1955.085</v>
      </c>
      <c r="D9" s="212">
        <v>2216.1559999999999</v>
      </c>
      <c r="E9" s="212">
        <v>2415.4749999999999</v>
      </c>
      <c r="F9" s="212">
        <v>2431.6219999999998</v>
      </c>
      <c r="G9" s="212">
        <v>2456.3249999999998</v>
      </c>
      <c r="H9" s="213"/>
      <c r="I9" s="212">
        <v>611.447</v>
      </c>
      <c r="J9" s="212">
        <v>763.82600000000002</v>
      </c>
      <c r="K9" s="212">
        <v>588.245</v>
      </c>
      <c r="L9" s="212">
        <v>465.55700000000002</v>
      </c>
      <c r="M9" s="212">
        <v>643.03200000000004</v>
      </c>
      <c r="N9" s="212">
        <v>758.76700000000005</v>
      </c>
      <c r="O9" s="212">
        <v>588.96900000000005</v>
      </c>
      <c r="P9" s="214">
        <v>485.70600000000002</v>
      </c>
    </row>
    <row r="10" spans="1:17">
      <c r="A10" s="190"/>
      <c r="B10" s="215" t="s">
        <v>360</v>
      </c>
      <c r="C10" s="216">
        <v>-1084.2639999999999</v>
      </c>
      <c r="D10" s="216">
        <v>-1177.9190000000001</v>
      </c>
      <c r="E10" s="216">
        <v>-1333.39</v>
      </c>
      <c r="F10" s="216">
        <v>-1354.3320000000001</v>
      </c>
      <c r="G10" s="216">
        <v>-1378.4449999999999</v>
      </c>
      <c r="H10" s="216"/>
      <c r="I10" s="216">
        <v>-322.964</v>
      </c>
      <c r="J10" s="216">
        <v>-477.26600000000002</v>
      </c>
      <c r="K10" s="216">
        <v>-324.46800000000002</v>
      </c>
      <c r="L10" s="216">
        <v>-230.90199999999999</v>
      </c>
      <c r="M10" s="216">
        <v>-345.54599999999999</v>
      </c>
      <c r="N10" s="216">
        <v>-472.68299999999999</v>
      </c>
      <c r="O10" s="216">
        <v>-329.31400000000002</v>
      </c>
      <c r="P10" s="237">
        <v>-243.91900000000001</v>
      </c>
    </row>
    <row r="11" spans="1:17">
      <c r="A11" s="190"/>
      <c r="B11" s="211" t="s">
        <v>99</v>
      </c>
      <c r="C11" s="471">
        <f>SUM(C9:C10)</f>
        <v>870.82100000000014</v>
      </c>
      <c r="D11" s="471">
        <f t="shared" ref="D11:G11" si="0">SUM(D9:D10)</f>
        <v>1038.2369999999999</v>
      </c>
      <c r="E11" s="471">
        <f t="shared" si="0"/>
        <v>1082.0849999999998</v>
      </c>
      <c r="F11" s="471">
        <f t="shared" si="0"/>
        <v>1077.2899999999997</v>
      </c>
      <c r="G11" s="471">
        <f t="shared" si="0"/>
        <v>1077.8799999999999</v>
      </c>
      <c r="H11" s="472"/>
      <c r="I11" s="471">
        <f t="shared" ref="I11:O11" si="1">SUM(I9:I10)</f>
        <v>288.483</v>
      </c>
      <c r="J11" s="471">
        <f t="shared" si="1"/>
        <v>286.56</v>
      </c>
      <c r="K11" s="471">
        <f t="shared" si="1"/>
        <v>263.77699999999999</v>
      </c>
      <c r="L11" s="471">
        <f t="shared" si="1"/>
        <v>234.65500000000003</v>
      </c>
      <c r="M11" s="471">
        <f t="shared" si="1"/>
        <v>297.48600000000005</v>
      </c>
      <c r="N11" s="471">
        <f t="shared" si="1"/>
        <v>286.08400000000006</v>
      </c>
      <c r="O11" s="471">
        <f t="shared" si="1"/>
        <v>259.65500000000003</v>
      </c>
      <c r="P11" s="473">
        <f t="shared" ref="P11" si="2">SUM(P9:P10)</f>
        <v>241.78700000000001</v>
      </c>
    </row>
    <row r="12" spans="1:17">
      <c r="A12" s="190"/>
      <c r="B12" s="215" t="s">
        <v>361</v>
      </c>
      <c r="C12" s="216">
        <v>-1.0960000000000001</v>
      </c>
      <c r="D12" s="216">
        <v>8.83</v>
      </c>
      <c r="E12" s="216">
        <v>-3.895</v>
      </c>
      <c r="F12" s="216">
        <v>-2.4780000000000002</v>
      </c>
      <c r="G12" s="216">
        <v>-0.872</v>
      </c>
      <c r="H12" s="216"/>
      <c r="I12" s="216">
        <v>0</v>
      </c>
      <c r="J12" s="216">
        <v>0</v>
      </c>
      <c r="K12" s="216">
        <v>-2.4780000000000002</v>
      </c>
      <c r="L12" s="216">
        <v>-0.19600000000000001</v>
      </c>
      <c r="M12" s="216">
        <v>-0.27600000000000002</v>
      </c>
      <c r="N12" s="216">
        <v>-0.189</v>
      </c>
      <c r="O12" s="216">
        <v>-0.21099999999999999</v>
      </c>
      <c r="P12" s="237">
        <v>-0.25700000000000001</v>
      </c>
    </row>
    <row r="13" spans="1:17">
      <c r="A13" s="190"/>
      <c r="B13" s="215" t="s">
        <v>362</v>
      </c>
      <c r="C13" s="216">
        <v>-246.54499999999999</v>
      </c>
      <c r="D13" s="216">
        <v>-245.16900000000001</v>
      </c>
      <c r="E13" s="216">
        <v>-272.44600000000003</v>
      </c>
      <c r="F13" s="216">
        <v>-281.73</v>
      </c>
      <c r="G13" s="216">
        <v>-285.15600000000001</v>
      </c>
      <c r="H13" s="216"/>
      <c r="I13" s="216">
        <v>-69.968000000000004</v>
      </c>
      <c r="J13" s="216">
        <v>-72.84</v>
      </c>
      <c r="K13" s="216">
        <v>-62.487000000000002</v>
      </c>
      <c r="L13" s="216">
        <v>-74.42</v>
      </c>
      <c r="M13" s="216">
        <v>-63.442999999999998</v>
      </c>
      <c r="N13" s="216">
        <v>-60.537999999999997</v>
      </c>
      <c r="O13" s="216">
        <v>-86.754999999999995</v>
      </c>
      <c r="P13" s="237">
        <v>-80.622</v>
      </c>
    </row>
    <row r="14" spans="1:17">
      <c r="A14" s="190"/>
      <c r="B14" s="211" t="s">
        <v>363</v>
      </c>
      <c r="C14" s="471">
        <f>SUM(C11:C13)</f>
        <v>623.18000000000018</v>
      </c>
      <c r="D14" s="471">
        <f t="shared" ref="D14:G14" si="3">SUM(D11:D13)</f>
        <v>801.8979999999998</v>
      </c>
      <c r="E14" s="471">
        <f t="shared" si="3"/>
        <v>805.7439999999998</v>
      </c>
      <c r="F14" s="471">
        <f t="shared" si="3"/>
        <v>793.08199999999965</v>
      </c>
      <c r="G14" s="471">
        <f t="shared" si="3"/>
        <v>791.85199999999986</v>
      </c>
      <c r="H14" s="472"/>
      <c r="I14" s="471">
        <f t="shared" ref="I14:O14" si="4">SUM(I11:I13)</f>
        <v>218.51499999999999</v>
      </c>
      <c r="J14" s="471">
        <f t="shared" si="4"/>
        <v>213.72</v>
      </c>
      <c r="K14" s="471">
        <f t="shared" si="4"/>
        <v>198.81199999999998</v>
      </c>
      <c r="L14" s="471">
        <f t="shared" si="4"/>
        <v>160.03900000000004</v>
      </c>
      <c r="M14" s="471">
        <f t="shared" si="4"/>
        <v>233.76700000000005</v>
      </c>
      <c r="N14" s="471">
        <f t="shared" si="4"/>
        <v>225.35700000000003</v>
      </c>
      <c r="O14" s="471">
        <f t="shared" si="4"/>
        <v>172.68900000000002</v>
      </c>
      <c r="P14" s="473">
        <f t="shared" ref="P14" si="5">SUM(P11:P13)</f>
        <v>160.90800000000002</v>
      </c>
    </row>
    <row r="15" spans="1:17">
      <c r="A15" s="190"/>
      <c r="B15" s="215" t="s">
        <v>10</v>
      </c>
      <c r="C15" s="216">
        <v>-257.70800000000003</v>
      </c>
      <c r="D15" s="216">
        <v>-289.44400000000002</v>
      </c>
      <c r="E15" s="216">
        <v>-264.62299999999999</v>
      </c>
      <c r="F15" s="216">
        <v>-215.26300000000001</v>
      </c>
      <c r="G15" s="216">
        <v>-260.03899999999999</v>
      </c>
      <c r="H15" s="216"/>
      <c r="I15" s="216">
        <v>-58.424999999999997</v>
      </c>
      <c r="J15" s="216">
        <v>-48.128999999999998</v>
      </c>
      <c r="K15" s="216">
        <v>-49.59</v>
      </c>
      <c r="L15" s="216">
        <v>-47.329000000000001</v>
      </c>
      <c r="M15" s="216">
        <v>-66.536000000000001</v>
      </c>
      <c r="N15" s="216">
        <v>-69.858999999999995</v>
      </c>
      <c r="O15" s="216">
        <v>-76.314999999999998</v>
      </c>
      <c r="P15" s="237">
        <v>-76.197999999999993</v>
      </c>
    </row>
    <row r="16" spans="1:17">
      <c r="A16" s="190"/>
      <c r="B16" s="215" t="s">
        <v>213</v>
      </c>
      <c r="C16" s="216">
        <v>2.6850000000000001</v>
      </c>
      <c r="D16" s="216">
        <v>21.704999999999998</v>
      </c>
      <c r="E16" s="216">
        <v>60.54</v>
      </c>
      <c r="F16" s="216">
        <v>40.893000000000001</v>
      </c>
      <c r="G16" s="216">
        <v>30.556000000000001</v>
      </c>
      <c r="H16" s="216"/>
      <c r="I16" s="216">
        <v>4.5880000000000001</v>
      </c>
      <c r="J16" s="216">
        <v>7.5330000000000004</v>
      </c>
      <c r="K16" s="216">
        <v>9.1300000000000008</v>
      </c>
      <c r="L16" s="216">
        <v>10.589</v>
      </c>
      <c r="M16" s="216">
        <v>7.87</v>
      </c>
      <c r="N16" s="216">
        <v>8.7850000000000001</v>
      </c>
      <c r="O16" s="216">
        <v>3.3119999999999998</v>
      </c>
      <c r="P16" s="237">
        <v>5.0430000000000001</v>
      </c>
    </row>
    <row r="17" spans="1:16">
      <c r="A17" s="189"/>
      <c r="B17" s="215" t="s">
        <v>156</v>
      </c>
      <c r="C17" s="216">
        <v>130.233</v>
      </c>
      <c r="D17" s="216">
        <v>69.638999999999996</v>
      </c>
      <c r="E17" s="216">
        <v>148.77000000000001</v>
      </c>
      <c r="F17" s="216">
        <v>5.9649999999999999</v>
      </c>
      <c r="G17" s="216">
        <v>-17.585000000000001</v>
      </c>
      <c r="H17" s="216"/>
      <c r="I17" s="216">
        <v>1.3260000000000001</v>
      </c>
      <c r="J17" s="216">
        <v>0.372</v>
      </c>
      <c r="K17" s="216">
        <v>3.714</v>
      </c>
      <c r="L17" s="216">
        <v>0.50700000000000001</v>
      </c>
      <c r="M17" s="216">
        <v>4.702</v>
      </c>
      <c r="N17" s="216">
        <v>-4.1079999999999997</v>
      </c>
      <c r="O17" s="216">
        <v>-18.686</v>
      </c>
      <c r="P17" s="237">
        <v>0.629</v>
      </c>
    </row>
    <row r="18" spans="1:16">
      <c r="A18" s="189"/>
      <c r="B18" s="215" t="s">
        <v>364</v>
      </c>
      <c r="C18" s="216">
        <v>35.673000000000002</v>
      </c>
      <c r="D18" s="216">
        <v>29.606999999999999</v>
      </c>
      <c r="E18" s="216">
        <v>34.923000000000002</v>
      </c>
      <c r="F18" s="216">
        <v>37.597999999999999</v>
      </c>
      <c r="G18" s="216">
        <v>2.254</v>
      </c>
      <c r="H18" s="216"/>
      <c r="I18" s="216">
        <v>11.956</v>
      </c>
      <c r="J18" s="216">
        <v>7.7480000000000002</v>
      </c>
      <c r="K18" s="216">
        <v>11.654</v>
      </c>
      <c r="L18" s="216">
        <v>8.8119999999999994</v>
      </c>
      <c r="M18" s="216">
        <v>5.7370000000000001</v>
      </c>
      <c r="N18" s="216">
        <v>7.7069999999999999</v>
      </c>
      <c r="O18" s="216">
        <v>-20.001999999999999</v>
      </c>
      <c r="P18" s="237">
        <v>2.5630000000000002</v>
      </c>
    </row>
    <row r="19" spans="1:16">
      <c r="A19" s="189"/>
      <c r="B19" s="215" t="s">
        <v>365</v>
      </c>
      <c r="C19" s="216">
        <v>76.682000000000002</v>
      </c>
      <c r="D19" s="216">
        <v>0</v>
      </c>
      <c r="E19" s="216">
        <v>0</v>
      </c>
      <c r="F19" s="216">
        <v>0</v>
      </c>
      <c r="G19" s="216">
        <v>0</v>
      </c>
      <c r="H19" s="216"/>
      <c r="I19" s="216">
        <v>0</v>
      </c>
      <c r="J19" s="216">
        <v>0</v>
      </c>
      <c r="K19" s="216">
        <v>0</v>
      </c>
      <c r="L19" s="216">
        <v>0</v>
      </c>
      <c r="M19" s="216">
        <v>0</v>
      </c>
      <c r="N19" s="216">
        <v>0</v>
      </c>
      <c r="O19" s="216">
        <v>0</v>
      </c>
      <c r="P19" s="237">
        <v>0</v>
      </c>
    </row>
    <row r="20" spans="1:16">
      <c r="B20" s="211" t="s">
        <v>366</v>
      </c>
      <c r="C20" s="471">
        <f>SUM(C14:C19)</f>
        <v>610.74500000000012</v>
      </c>
      <c r="D20" s="471">
        <f t="shared" ref="D20:G20" si="6">SUM(D14:D19)</f>
        <v>633.40499999999975</v>
      </c>
      <c r="E20" s="471">
        <f t="shared" si="6"/>
        <v>785.35399999999981</v>
      </c>
      <c r="F20" s="471">
        <f t="shared" si="6"/>
        <v>662.27499999999964</v>
      </c>
      <c r="G20" s="471">
        <f t="shared" si="6"/>
        <v>547.0379999999999</v>
      </c>
      <c r="H20" s="472"/>
      <c r="I20" s="471">
        <f t="shared" ref="I20:O20" si="7">SUM(I14:I19)</f>
        <v>177.95999999999995</v>
      </c>
      <c r="J20" s="471">
        <f t="shared" si="7"/>
        <v>181.244</v>
      </c>
      <c r="K20" s="471">
        <f t="shared" si="7"/>
        <v>173.71999999999997</v>
      </c>
      <c r="L20" s="471">
        <f t="shared" si="7"/>
        <v>132.61800000000005</v>
      </c>
      <c r="M20" s="471">
        <f t="shared" si="7"/>
        <v>185.54000000000005</v>
      </c>
      <c r="N20" s="471">
        <f t="shared" si="7"/>
        <v>167.88200000000003</v>
      </c>
      <c r="O20" s="471">
        <f t="shared" si="7"/>
        <v>60.998000000000033</v>
      </c>
      <c r="P20" s="473">
        <f t="shared" ref="P20" si="8">SUM(P14:P19)</f>
        <v>92.945000000000036</v>
      </c>
    </row>
    <row r="21" spans="1:16">
      <c r="A21" s="189"/>
      <c r="B21" s="215" t="s">
        <v>367</v>
      </c>
      <c r="C21" s="216">
        <v>0</v>
      </c>
      <c r="D21" s="216">
        <v>0</v>
      </c>
      <c r="E21" s="216">
        <v>-358.79500000000002</v>
      </c>
      <c r="F21" s="216">
        <v>-59.523000000000003</v>
      </c>
      <c r="G21" s="216">
        <v>-51.137999999999998</v>
      </c>
      <c r="H21" s="216"/>
      <c r="I21" s="216">
        <v>-13.435</v>
      </c>
      <c r="J21" s="216">
        <v>-15.728</v>
      </c>
      <c r="K21" s="216">
        <v>-20.321000000000002</v>
      </c>
      <c r="L21" s="216">
        <v>-11.108000000000001</v>
      </c>
      <c r="M21" s="216">
        <v>-15.984999999999999</v>
      </c>
      <c r="N21" s="216">
        <v>-14.55</v>
      </c>
      <c r="O21" s="216">
        <v>-9.4949999999999992</v>
      </c>
      <c r="P21" s="237">
        <v>-8.3879999999999999</v>
      </c>
    </row>
    <row r="22" spans="1:16">
      <c r="B22" s="211" t="s">
        <v>324</v>
      </c>
      <c r="C22" s="471">
        <f>SUM(C20:C21)</f>
        <v>610.74500000000012</v>
      </c>
      <c r="D22" s="471">
        <f t="shared" ref="D22:G22" si="9">SUM(D20:D21)</f>
        <v>633.40499999999975</v>
      </c>
      <c r="E22" s="471">
        <f t="shared" si="9"/>
        <v>426.5589999999998</v>
      </c>
      <c r="F22" s="471">
        <f t="shared" si="9"/>
        <v>602.75199999999961</v>
      </c>
      <c r="G22" s="471">
        <f t="shared" si="9"/>
        <v>495.89999999999992</v>
      </c>
      <c r="H22" s="472"/>
      <c r="I22" s="471">
        <f t="shared" ref="I22:O22" si="10">SUM(I20:I21)</f>
        <v>164.52499999999995</v>
      </c>
      <c r="J22" s="471">
        <f t="shared" si="10"/>
        <v>165.51599999999999</v>
      </c>
      <c r="K22" s="471">
        <f t="shared" si="10"/>
        <v>153.39899999999997</v>
      </c>
      <c r="L22" s="471">
        <f t="shared" si="10"/>
        <v>121.51000000000005</v>
      </c>
      <c r="M22" s="471">
        <f t="shared" si="10"/>
        <v>169.55500000000006</v>
      </c>
      <c r="N22" s="471">
        <f t="shared" si="10"/>
        <v>153.33200000000002</v>
      </c>
      <c r="O22" s="471">
        <f t="shared" si="10"/>
        <v>51.503000000000036</v>
      </c>
      <c r="P22" s="473">
        <f t="shared" ref="P22" si="11">SUM(P20:P21)</f>
        <v>84.557000000000031</v>
      </c>
    </row>
    <row r="23" spans="1:16">
      <c r="B23" s="238" t="s">
        <v>368</v>
      </c>
      <c r="C23" s="191"/>
      <c r="D23" s="191"/>
      <c r="E23" s="191"/>
      <c r="F23" s="191"/>
      <c r="G23" s="191"/>
      <c r="H23" s="216"/>
      <c r="I23" s="191"/>
      <c r="J23" s="191"/>
      <c r="K23" s="191"/>
      <c r="L23" s="191"/>
      <c r="M23" s="191"/>
      <c r="N23" s="191"/>
      <c r="O23" s="191"/>
      <c r="P23" s="217"/>
    </row>
    <row r="24" spans="1:16">
      <c r="A24" s="189"/>
      <c r="B24" s="239" t="s">
        <v>369</v>
      </c>
      <c r="C24" s="191">
        <v>585.15599999999995</v>
      </c>
      <c r="D24" s="191">
        <v>600.18799999999999</v>
      </c>
      <c r="E24" s="191">
        <v>431.14077399999996</v>
      </c>
      <c r="F24" s="191">
        <v>570.21900000000005</v>
      </c>
      <c r="G24" s="191">
        <v>465.34399999999999</v>
      </c>
      <c r="H24" s="191"/>
      <c r="I24" s="191">
        <v>156.89048923937224</v>
      </c>
      <c r="J24" s="191">
        <v>156.148</v>
      </c>
      <c r="K24" s="191">
        <v>145.047</v>
      </c>
      <c r="L24" s="191">
        <v>115.432</v>
      </c>
      <c r="M24" s="191">
        <v>160.28399999999999</v>
      </c>
      <c r="N24" s="191">
        <v>144.172</v>
      </c>
      <c r="O24" s="191">
        <v>45.456000000000003</v>
      </c>
      <c r="P24" s="217">
        <v>78.171999999999997</v>
      </c>
    </row>
    <row r="25" spans="1:16">
      <c r="A25" s="189"/>
      <c r="B25" s="240" t="s">
        <v>326</v>
      </c>
      <c r="C25" s="216">
        <v>25.588999999999999</v>
      </c>
      <c r="D25" s="216">
        <v>33.216999999999999</v>
      </c>
      <c r="E25" s="216">
        <v>-4.5819999999999999</v>
      </c>
      <c r="F25" s="216">
        <v>32.533000000000001</v>
      </c>
      <c r="G25" s="216">
        <v>30.556000000000001</v>
      </c>
      <c r="H25" s="216"/>
      <c r="I25" s="216">
        <v>7.6349999999999998</v>
      </c>
      <c r="J25" s="216">
        <v>9.3680000000000003</v>
      </c>
      <c r="K25" s="216">
        <v>8.3520000000000003</v>
      </c>
      <c r="L25" s="216">
        <v>6.0780000000000003</v>
      </c>
      <c r="M25" s="216">
        <v>9.2710000000000008</v>
      </c>
      <c r="N25" s="216">
        <v>9.16</v>
      </c>
      <c r="O25" s="216">
        <v>6.0469999999999997</v>
      </c>
      <c r="P25" s="237">
        <v>6.3849999999999998</v>
      </c>
    </row>
    <row r="26" spans="1:16" ht="14.5" thickBot="1">
      <c r="B26" s="215"/>
      <c r="C26" s="191"/>
      <c r="D26" s="191"/>
      <c r="E26" s="191"/>
      <c r="F26" s="191"/>
      <c r="G26" s="191"/>
      <c r="H26" s="216"/>
      <c r="I26" s="191"/>
      <c r="J26" s="191"/>
      <c r="K26" s="191"/>
      <c r="L26" s="191"/>
      <c r="M26" s="191"/>
      <c r="N26" s="191"/>
      <c r="O26" s="191"/>
      <c r="P26" s="217"/>
    </row>
    <row r="27" spans="1:16">
      <c r="A27" s="189"/>
      <c r="B27" s="338" t="s">
        <v>370</v>
      </c>
      <c r="C27" s="336">
        <v>0.21099999999999999</v>
      </c>
      <c r="D27" s="336">
        <v>0.21099999999999999</v>
      </c>
      <c r="E27" s="336">
        <v>0.152</v>
      </c>
      <c r="F27" s="336">
        <v>0.20100000000000001</v>
      </c>
      <c r="G27" s="336">
        <v>0.16400000000000001</v>
      </c>
      <c r="H27" s="191"/>
      <c r="I27" s="336">
        <v>5.5E-2</v>
      </c>
      <c r="J27" s="336">
        <v>5.5E-2</v>
      </c>
      <c r="K27" s="336">
        <v>5.0999999999999997E-2</v>
      </c>
      <c r="L27" s="336">
        <v>4.1000000000000002E-2</v>
      </c>
      <c r="M27" s="336">
        <v>5.6000000000000001E-2</v>
      </c>
      <c r="N27" s="336">
        <v>5.0999999999999997E-2</v>
      </c>
      <c r="O27" s="336">
        <v>1.6E-2</v>
      </c>
      <c r="P27" s="337">
        <v>2.8000000000000001E-2</v>
      </c>
    </row>
    <row r="28" spans="1:16" ht="14.5" thickBot="1">
      <c r="A28" s="189"/>
      <c r="B28" s="333" t="s">
        <v>491</v>
      </c>
      <c r="C28" s="334">
        <v>0.12</v>
      </c>
      <c r="D28" s="334">
        <v>0.13500000000000001</v>
      </c>
      <c r="E28" s="334">
        <v>0.155</v>
      </c>
      <c r="F28" s="334">
        <v>0.155</v>
      </c>
      <c r="G28" s="334">
        <v>0.13</v>
      </c>
      <c r="H28" s="191"/>
      <c r="I28" s="334" t="s">
        <v>248</v>
      </c>
      <c r="J28" s="334" t="s">
        <v>248</v>
      </c>
      <c r="K28" s="334" t="s">
        <v>248</v>
      </c>
      <c r="L28" s="334" t="s">
        <v>248</v>
      </c>
      <c r="M28" s="334">
        <v>6.5000000000000002E-2</v>
      </c>
      <c r="N28" s="334" t="s">
        <v>248</v>
      </c>
      <c r="O28" s="334">
        <v>6.5000000000000002E-2</v>
      </c>
      <c r="P28" s="335" t="s">
        <v>248</v>
      </c>
    </row>
    <row r="29" spans="1:16">
      <c r="B29" s="218"/>
      <c r="C29" s="191"/>
      <c r="D29" s="191"/>
      <c r="E29" s="241"/>
      <c r="F29" s="241"/>
      <c r="G29" s="191"/>
      <c r="H29" s="191"/>
      <c r="I29" s="191"/>
      <c r="J29" s="191"/>
      <c r="K29" s="191"/>
      <c r="L29" s="191"/>
      <c r="M29" s="191"/>
      <c r="N29" s="191"/>
      <c r="O29" s="191"/>
      <c r="P29" s="217"/>
    </row>
    <row r="30" spans="1:16" ht="15">
      <c r="B30" s="461" t="s">
        <v>371</v>
      </c>
      <c r="C30" s="242"/>
      <c r="D30" s="242"/>
      <c r="E30" s="242"/>
      <c r="F30" s="242"/>
      <c r="G30" s="242"/>
      <c r="H30" s="243"/>
      <c r="I30" s="242"/>
      <c r="J30" s="242"/>
      <c r="K30" s="242"/>
      <c r="L30" s="242"/>
      <c r="M30" s="242"/>
      <c r="N30" s="242"/>
      <c r="O30" s="242"/>
      <c r="P30" s="244"/>
    </row>
    <row r="31" spans="1:16" ht="15.5">
      <c r="A31" s="189"/>
      <c r="B31" s="218" t="s">
        <v>500</v>
      </c>
      <c r="C31" s="191">
        <v>1033.193</v>
      </c>
      <c r="D31" s="191">
        <v>1231.8620000000001</v>
      </c>
      <c r="E31" s="191">
        <v>1197.8889999999999</v>
      </c>
      <c r="F31" s="191">
        <v>1251.8779999999999</v>
      </c>
      <c r="G31" s="191">
        <v>1268.3969999999999</v>
      </c>
      <c r="H31" s="191"/>
      <c r="I31" s="191">
        <v>330.62</v>
      </c>
      <c r="J31" s="191">
        <v>328.88499999999999</v>
      </c>
      <c r="K31" s="191">
        <v>320.173</v>
      </c>
      <c r="L31" s="191">
        <v>282.02</v>
      </c>
      <c r="M31" s="191">
        <v>349.98200000000003</v>
      </c>
      <c r="N31" s="191">
        <v>342.67599999999999</v>
      </c>
      <c r="O31" s="191">
        <v>293.71899999999999</v>
      </c>
      <c r="P31" s="217">
        <v>284.90800000000002</v>
      </c>
    </row>
    <row r="32" spans="1:16" ht="15.5">
      <c r="B32" s="218" t="s">
        <v>501</v>
      </c>
      <c r="C32" s="191">
        <v>454.923</v>
      </c>
      <c r="D32" s="191">
        <v>530.54899999999998</v>
      </c>
      <c r="E32" s="191">
        <v>602.63900000000001</v>
      </c>
      <c r="F32" s="191">
        <v>570.21900000000005</v>
      </c>
      <c r="G32" s="191">
        <v>520.60400000000004</v>
      </c>
      <c r="H32" s="245"/>
      <c r="I32" s="191">
        <v>156.88999999999999</v>
      </c>
      <c r="J32" s="191">
        <v>156.148</v>
      </c>
      <c r="K32" s="191">
        <v>145.047</v>
      </c>
      <c r="L32" s="191">
        <v>115.432</v>
      </c>
      <c r="M32" s="191">
        <v>157.50299999999999</v>
      </c>
      <c r="N32" s="191">
        <v>151.76900000000001</v>
      </c>
      <c r="O32" s="191">
        <v>95.899000000000001</v>
      </c>
      <c r="P32" s="217">
        <v>79.192999999999998</v>
      </c>
    </row>
    <row r="33" spans="2:16">
      <c r="B33" s="215"/>
      <c r="C33" s="246"/>
      <c r="D33" s="246"/>
      <c r="E33" s="246"/>
      <c r="F33" s="246"/>
      <c r="G33" s="246"/>
      <c r="H33" s="246"/>
      <c r="I33" s="246"/>
      <c r="J33" s="246"/>
      <c r="K33" s="246"/>
      <c r="L33" s="246"/>
      <c r="M33" s="246"/>
      <c r="N33" s="246"/>
      <c r="O33" s="246"/>
      <c r="P33" s="247"/>
    </row>
    <row r="34" spans="2:16">
      <c r="B34" s="215" t="s">
        <v>495</v>
      </c>
      <c r="C34" s="246"/>
      <c r="D34" s="246"/>
      <c r="E34" s="246"/>
      <c r="F34" s="246"/>
      <c r="G34" s="246"/>
      <c r="H34" s="246"/>
      <c r="I34" s="246"/>
      <c r="J34" s="246"/>
      <c r="K34" s="246"/>
      <c r="L34" s="246"/>
      <c r="M34" s="246"/>
      <c r="N34" s="246"/>
      <c r="O34" s="246"/>
      <c r="P34" s="247"/>
    </row>
    <row r="35" spans="2:16">
      <c r="B35" s="248" t="s">
        <v>496</v>
      </c>
      <c r="C35" s="249"/>
      <c r="D35" s="249"/>
      <c r="E35" s="249"/>
      <c r="F35" s="249"/>
      <c r="G35" s="249"/>
      <c r="H35" s="249"/>
      <c r="I35" s="249"/>
      <c r="J35" s="249"/>
      <c r="K35" s="249"/>
      <c r="L35" s="249"/>
      <c r="M35" s="249"/>
      <c r="N35" s="249"/>
      <c r="O35" s="249"/>
      <c r="P35" s="250"/>
    </row>
    <row r="36" spans="2:16">
      <c r="B36" s="248" t="s">
        <v>497</v>
      </c>
      <c r="O36" s="251"/>
      <c r="P36" s="236"/>
    </row>
    <row r="37" spans="2:16">
      <c r="B37" s="248" t="s">
        <v>372</v>
      </c>
      <c r="O37" s="251"/>
      <c r="P37" s="236"/>
    </row>
    <row r="38" spans="2:16">
      <c r="B38" s="252" t="s">
        <v>540</v>
      </c>
      <c r="C38" s="253"/>
      <c r="D38" s="253"/>
      <c r="E38" s="253"/>
      <c r="F38" s="253"/>
      <c r="G38" s="253"/>
      <c r="H38" s="253"/>
      <c r="I38" s="253"/>
      <c r="J38" s="253"/>
      <c r="K38" s="253"/>
      <c r="L38" s="253"/>
      <c r="M38" s="253"/>
      <c r="N38" s="253"/>
      <c r="O38" s="254"/>
      <c r="P38" s="255"/>
    </row>
    <row r="39" spans="2:16" ht="3" customHeight="1"/>
  </sheetData>
  <sheetProtection algorithmName="SHA-512" hashValue="lxOA+h/kARUib/DACNdXFB4cRWILPEAggQfwOlaUN7OR3VuOvSTDzjO590PtlgzDGGSdfCXhg19DBEL+KSoEUA==" saltValue="+l7/ieNGHxFG3Ax4SrhT6w==" spinCount="100000" sheet="1" objects="1" scenarios="1"/>
  <mergeCells count="2">
    <mergeCell ref="C7:G7"/>
    <mergeCell ref="K7:P7"/>
  </mergeCells>
  <pageMargins left="0.7" right="0.7" top="0.75" bottom="0.75" header="0.3" footer="0.3"/>
  <pageSetup orientation="portrait" r:id="rId1"/>
  <headerFooter>
    <oddFooter>&amp;C&amp;K0303FE&amp;10&amp;"Calibri"Classification: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EB63-7AAC-44E4-8332-5426ECA128A8}">
  <dimension ref="A1:T44"/>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9" width="8.796875" style="257" hidden="1" customWidth="1"/>
    <col min="20" max="20" width="0" style="257" hidden="1" customWidth="1"/>
    <col min="21" max="16384" width="8.796875" style="257" hidden="1"/>
  </cols>
  <sheetData>
    <row r="1" spans="1:17" ht="3.5" customHeight="1">
      <c r="C1" s="258"/>
      <c r="I1" s="257" t="s">
        <v>374</v>
      </c>
      <c r="Q1" s="257" t="s">
        <v>374</v>
      </c>
    </row>
    <row r="2" spans="1:17" ht="17" customHeight="1">
      <c r="B2" s="160"/>
      <c r="C2" s="264"/>
      <c r="D2" s="264"/>
      <c r="E2" s="264"/>
      <c r="F2" s="264"/>
      <c r="G2" s="264"/>
      <c r="H2" s="264"/>
      <c r="I2" s="264"/>
      <c r="J2" s="264"/>
      <c r="K2" s="264"/>
      <c r="L2" s="264"/>
      <c r="M2" s="264"/>
      <c r="N2" s="264"/>
      <c r="O2" s="264"/>
      <c r="P2" s="265"/>
    </row>
    <row r="3" spans="1:17" ht="17" customHeight="1">
      <c r="B3" s="205"/>
      <c r="C3" s="266"/>
      <c r="D3" s="258"/>
      <c r="E3" s="258"/>
      <c r="F3" s="258"/>
      <c r="G3" s="258"/>
      <c r="H3" s="258"/>
      <c r="I3" s="258"/>
      <c r="J3" s="258"/>
      <c r="K3" s="258"/>
      <c r="L3" s="258"/>
      <c r="M3" s="258"/>
      <c r="N3" s="258"/>
      <c r="O3" s="258"/>
      <c r="P3" s="267"/>
    </row>
    <row r="4" spans="1:17" ht="17" customHeight="1">
      <c r="B4" s="397" t="s">
        <v>227</v>
      </c>
      <c r="C4" s="266"/>
      <c r="D4" s="258"/>
      <c r="E4" s="258"/>
      <c r="F4" s="258"/>
      <c r="G4" s="258"/>
      <c r="H4" s="258"/>
      <c r="I4" s="258"/>
      <c r="J4" s="258"/>
      <c r="K4" s="258"/>
      <c r="L4" s="258"/>
      <c r="M4" s="258"/>
      <c r="N4" s="258"/>
      <c r="O4" s="258"/>
      <c r="P4" s="267"/>
    </row>
    <row r="5" spans="1:17" ht="17" customHeight="1">
      <c r="B5" s="397" t="s">
        <v>278</v>
      </c>
      <c r="C5" s="266"/>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c r="Q6" s="257" t="str">
        <f>IF(Q2&lt;Q3,P2," ")</f>
        <v xml:space="preserve"> </v>
      </c>
    </row>
    <row r="7" spans="1:17" ht="14" customHeight="1" thickBot="1">
      <c r="B7" s="269"/>
      <c r="C7" s="504" t="s">
        <v>498</v>
      </c>
      <c r="D7" s="504"/>
      <c r="E7" s="504"/>
      <c r="F7" s="504"/>
      <c r="G7" s="504"/>
      <c r="H7" s="210"/>
      <c r="I7" s="504" t="s">
        <v>499</v>
      </c>
      <c r="J7" s="504"/>
      <c r="K7" s="504"/>
      <c r="L7" s="504"/>
      <c r="M7" s="504"/>
      <c r="N7" s="504"/>
      <c r="O7" s="504"/>
      <c r="P7" s="505"/>
    </row>
    <row r="8" spans="1:17" ht="14" customHeight="1" thickBot="1">
      <c r="B8" s="466" t="s">
        <v>359</v>
      </c>
      <c r="C8" s="462" t="s">
        <v>353</v>
      </c>
      <c r="D8" s="462" t="s">
        <v>354</v>
      </c>
      <c r="E8" s="462" t="s">
        <v>355</v>
      </c>
      <c r="F8" s="462" t="s">
        <v>468</v>
      </c>
      <c r="G8" s="462" t="s">
        <v>538</v>
      </c>
      <c r="H8" s="463"/>
      <c r="I8" s="462" t="s">
        <v>345</v>
      </c>
      <c r="J8" s="462" t="s">
        <v>464</v>
      </c>
      <c r="K8" s="462" t="s">
        <v>473</v>
      </c>
      <c r="L8" s="462" t="s">
        <v>487</v>
      </c>
      <c r="M8" s="462" t="s">
        <v>490</v>
      </c>
      <c r="N8" s="462" t="s">
        <v>494</v>
      </c>
      <c r="O8" s="462" t="s">
        <v>539</v>
      </c>
      <c r="P8" s="464" t="s">
        <v>543</v>
      </c>
    </row>
    <row r="9" spans="1:17" ht="14" customHeight="1">
      <c r="B9" s="467" t="s">
        <v>373</v>
      </c>
      <c r="C9" s="270"/>
      <c r="D9" s="270"/>
      <c r="E9" s="270"/>
      <c r="F9" s="270"/>
      <c r="G9" s="270"/>
      <c r="H9" s="270"/>
      <c r="I9" s="270"/>
      <c r="J9" s="270"/>
      <c r="K9" s="270"/>
      <c r="L9" s="270"/>
      <c r="M9" s="270"/>
      <c r="N9" s="270"/>
      <c r="O9" s="270"/>
      <c r="P9" s="271"/>
    </row>
    <row r="10" spans="1:17">
      <c r="A10" s="259"/>
      <c r="B10" s="272" t="s">
        <v>318</v>
      </c>
      <c r="C10" s="273">
        <v>1882.09</v>
      </c>
      <c r="D10" s="273">
        <v>2141.1819999999998</v>
      </c>
      <c r="E10" s="273">
        <v>2333.1880000000001</v>
      </c>
      <c r="F10" s="273">
        <v>2344.0549999999998</v>
      </c>
      <c r="G10" s="273">
        <v>2374.538</v>
      </c>
      <c r="H10" s="274"/>
      <c r="I10" s="273">
        <v>586.48</v>
      </c>
      <c r="J10" s="273">
        <v>736.61400000000003</v>
      </c>
      <c r="K10" s="273">
        <v>572.86800000000005</v>
      </c>
      <c r="L10" s="273">
        <v>445.34</v>
      </c>
      <c r="M10" s="273">
        <v>624.54899999999998</v>
      </c>
      <c r="N10" s="273">
        <v>735.84699999999998</v>
      </c>
      <c r="O10" s="273">
        <v>568.80200000000002</v>
      </c>
      <c r="P10" s="275">
        <v>464.37400000000002</v>
      </c>
    </row>
    <row r="11" spans="1:17">
      <c r="A11" s="190"/>
      <c r="B11" s="276" t="s">
        <v>360</v>
      </c>
      <c r="C11" s="277">
        <v>-1038.931</v>
      </c>
      <c r="D11" s="277">
        <v>-1140.9549999999999</v>
      </c>
      <c r="E11" s="277">
        <v>-1286.9480000000001</v>
      </c>
      <c r="F11" s="277">
        <v>-1313.242</v>
      </c>
      <c r="G11" s="277">
        <v>-1336.971</v>
      </c>
      <c r="H11" s="277"/>
      <c r="I11" s="277">
        <v>-303.92</v>
      </c>
      <c r="J11" s="277">
        <v>-469.38400000000001</v>
      </c>
      <c r="K11" s="277">
        <v>-322.64</v>
      </c>
      <c r="L11" s="277">
        <v>-218.26300000000001</v>
      </c>
      <c r="M11" s="277">
        <v>-333.53</v>
      </c>
      <c r="N11" s="277">
        <v>-458.50400000000002</v>
      </c>
      <c r="O11" s="277">
        <v>-326.67399999999998</v>
      </c>
      <c r="P11" s="278">
        <v>-228.93700000000001</v>
      </c>
    </row>
    <row r="12" spans="1:17">
      <c r="A12" s="190"/>
      <c r="B12" s="272" t="s">
        <v>99</v>
      </c>
      <c r="C12" s="476">
        <f>SUM(C10:C11)</f>
        <v>843.15899999999988</v>
      </c>
      <c r="D12" s="476">
        <f t="shared" ref="D12:G12" si="0">SUM(D10:D11)</f>
        <v>1000.2269999999999</v>
      </c>
      <c r="E12" s="476">
        <f t="shared" si="0"/>
        <v>1046.24</v>
      </c>
      <c r="F12" s="476">
        <f t="shared" si="0"/>
        <v>1030.8129999999999</v>
      </c>
      <c r="G12" s="476">
        <f t="shared" si="0"/>
        <v>1037.567</v>
      </c>
      <c r="H12" s="477"/>
      <c r="I12" s="476">
        <f t="shared" ref="I12:O12" si="1">SUM(I10:I11)</f>
        <v>282.56</v>
      </c>
      <c r="J12" s="476">
        <f t="shared" si="1"/>
        <v>267.23</v>
      </c>
      <c r="K12" s="476">
        <f t="shared" si="1"/>
        <v>250.22800000000007</v>
      </c>
      <c r="L12" s="476">
        <f t="shared" si="1"/>
        <v>227.07699999999997</v>
      </c>
      <c r="M12" s="476">
        <f t="shared" si="1"/>
        <v>291.01900000000001</v>
      </c>
      <c r="N12" s="476">
        <f t="shared" si="1"/>
        <v>277.34299999999996</v>
      </c>
      <c r="O12" s="476">
        <f t="shared" si="1"/>
        <v>242.12800000000004</v>
      </c>
      <c r="P12" s="478">
        <f t="shared" ref="P12" si="2">SUM(P10:P11)</f>
        <v>235.43700000000001</v>
      </c>
    </row>
    <row r="13" spans="1:17">
      <c r="A13" s="190"/>
      <c r="B13" s="276" t="s">
        <v>361</v>
      </c>
      <c r="C13" s="277">
        <v>-0.67600000000000005</v>
      </c>
      <c r="D13" s="277">
        <v>8.93</v>
      </c>
      <c r="E13" s="277">
        <v>-3.5720000000000001</v>
      </c>
      <c r="F13" s="277">
        <v>-2.4780000000000002</v>
      </c>
      <c r="G13" s="277">
        <v>-0.81899999999999995</v>
      </c>
      <c r="H13" s="277"/>
      <c r="I13" s="277">
        <v>0</v>
      </c>
      <c r="J13" s="277">
        <v>0</v>
      </c>
      <c r="K13" s="277">
        <v>-2.4780000000000002</v>
      </c>
      <c r="L13" s="277">
        <v>-0.19600000000000001</v>
      </c>
      <c r="M13" s="277">
        <v>-0.223</v>
      </c>
      <c r="N13" s="277">
        <v>-0.189</v>
      </c>
      <c r="O13" s="277">
        <v>-0.21099999999999999</v>
      </c>
      <c r="P13" s="278">
        <v>-0.17699999999999999</v>
      </c>
    </row>
    <row r="14" spans="1:17">
      <c r="A14" s="190"/>
      <c r="B14" s="276" t="s">
        <v>362</v>
      </c>
      <c r="C14" s="277">
        <v>-233.01300000000001</v>
      </c>
      <c r="D14" s="277">
        <v>-229.89699999999999</v>
      </c>
      <c r="E14" s="277">
        <v>-269.42899999999997</v>
      </c>
      <c r="F14" s="277">
        <v>-273.74900000000002</v>
      </c>
      <c r="G14" s="277">
        <v>-269.50700000000001</v>
      </c>
      <c r="H14" s="277"/>
      <c r="I14" s="277">
        <v>-75.442999999999998</v>
      </c>
      <c r="J14" s="277">
        <v>-66.272000000000006</v>
      </c>
      <c r="K14" s="277">
        <v>-60.523000000000003</v>
      </c>
      <c r="L14" s="277">
        <v>-69.900999999999996</v>
      </c>
      <c r="M14" s="277">
        <v>-58.359000000000002</v>
      </c>
      <c r="N14" s="277">
        <v>-63.575000000000003</v>
      </c>
      <c r="O14" s="277">
        <v>-77.671999999999997</v>
      </c>
      <c r="P14" s="278">
        <v>-78.741</v>
      </c>
    </row>
    <row r="15" spans="1:17">
      <c r="A15" s="190"/>
      <c r="B15" s="272" t="s">
        <v>363</v>
      </c>
      <c r="C15" s="476">
        <f>SUM(C12:C14)</f>
        <v>609.4699999999998</v>
      </c>
      <c r="D15" s="476">
        <f t="shared" ref="D15:G15" si="3">SUM(D12:D14)</f>
        <v>779.25999999999976</v>
      </c>
      <c r="E15" s="476">
        <f t="shared" si="3"/>
        <v>773.23900000000015</v>
      </c>
      <c r="F15" s="476">
        <f t="shared" si="3"/>
        <v>754.58599999999979</v>
      </c>
      <c r="G15" s="476">
        <f t="shared" si="3"/>
        <v>767.24099999999999</v>
      </c>
      <c r="H15" s="477"/>
      <c r="I15" s="476">
        <f t="shared" ref="I15:O15" si="4">SUM(I12:I14)</f>
        <v>207.11700000000002</v>
      </c>
      <c r="J15" s="476">
        <f t="shared" si="4"/>
        <v>200.95800000000003</v>
      </c>
      <c r="K15" s="476">
        <f t="shared" si="4"/>
        <v>187.22700000000006</v>
      </c>
      <c r="L15" s="476">
        <f t="shared" si="4"/>
        <v>156.97999999999996</v>
      </c>
      <c r="M15" s="476">
        <f t="shared" si="4"/>
        <v>232.43699999999998</v>
      </c>
      <c r="N15" s="476">
        <f t="shared" si="4"/>
        <v>213.57899999999995</v>
      </c>
      <c r="O15" s="476">
        <f t="shared" si="4"/>
        <v>164.24500000000003</v>
      </c>
      <c r="P15" s="478">
        <f t="shared" ref="P15" si="5">SUM(P12:P14)</f>
        <v>156.51900000000001</v>
      </c>
    </row>
    <row r="16" spans="1:17">
      <c r="A16" s="190"/>
      <c r="B16" s="276" t="s">
        <v>10</v>
      </c>
      <c r="C16" s="277">
        <v>-257.089</v>
      </c>
      <c r="D16" s="277">
        <v>-288.29700000000003</v>
      </c>
      <c r="E16" s="277">
        <v>-263.31099999999998</v>
      </c>
      <c r="F16" s="277">
        <v>-213.506</v>
      </c>
      <c r="G16" s="277">
        <v>-257.59399999999999</v>
      </c>
      <c r="H16" s="277"/>
      <c r="I16" s="277">
        <v>-58.064</v>
      </c>
      <c r="J16" s="277">
        <v>-47.61</v>
      </c>
      <c r="K16" s="277">
        <v>-48.994999999999997</v>
      </c>
      <c r="L16" s="277">
        <v>-46.936999999999998</v>
      </c>
      <c r="M16" s="277">
        <v>-66.23</v>
      </c>
      <c r="N16" s="277">
        <v>-69.350999999999999</v>
      </c>
      <c r="O16" s="277">
        <v>-75.075999999999993</v>
      </c>
      <c r="P16" s="278">
        <v>-75.296000000000006</v>
      </c>
    </row>
    <row r="17" spans="1:16">
      <c r="A17" s="190"/>
      <c r="B17" s="276" t="s">
        <v>213</v>
      </c>
      <c r="C17" s="277">
        <v>2.5830000000000002</v>
      </c>
      <c r="D17" s="277">
        <v>21.646000000000001</v>
      </c>
      <c r="E17" s="277">
        <v>60.427999999999997</v>
      </c>
      <c r="F17" s="277">
        <v>40.811999999999998</v>
      </c>
      <c r="G17" s="277">
        <v>30.484000000000002</v>
      </c>
      <c r="H17" s="277"/>
      <c r="I17" s="277">
        <v>4.5890000000000004</v>
      </c>
      <c r="J17" s="277">
        <v>7.5019999999999998</v>
      </c>
      <c r="K17" s="277">
        <v>9.0920000000000005</v>
      </c>
      <c r="L17" s="277">
        <v>10.571999999999999</v>
      </c>
      <c r="M17" s="277">
        <v>7.8570000000000002</v>
      </c>
      <c r="N17" s="277">
        <v>8.7439999999999998</v>
      </c>
      <c r="O17" s="277">
        <v>3.3109999999999999</v>
      </c>
      <c r="P17" s="278">
        <v>5.0270000000000001</v>
      </c>
    </row>
    <row r="18" spans="1:16">
      <c r="A18" s="259"/>
      <c r="B18" s="276" t="s">
        <v>156</v>
      </c>
      <c r="C18" s="277">
        <v>130.233</v>
      </c>
      <c r="D18" s="277">
        <v>69.638999999999996</v>
      </c>
      <c r="E18" s="277">
        <v>148.77000000000001</v>
      </c>
      <c r="F18" s="277">
        <v>5.9649999999999999</v>
      </c>
      <c r="G18" s="277">
        <v>-17.585000000000001</v>
      </c>
      <c r="H18" s="277"/>
      <c r="I18" s="277">
        <v>1.3260000000000001</v>
      </c>
      <c r="J18" s="277">
        <v>0.372</v>
      </c>
      <c r="K18" s="277">
        <v>3.714</v>
      </c>
      <c r="L18" s="277">
        <v>0.50700000000000001</v>
      </c>
      <c r="M18" s="277">
        <v>4.702</v>
      </c>
      <c r="N18" s="277">
        <v>-4.1079999999999997</v>
      </c>
      <c r="O18" s="277">
        <v>-18.686</v>
      </c>
      <c r="P18" s="278">
        <v>0.629</v>
      </c>
    </row>
    <row r="19" spans="1:16">
      <c r="A19" s="259"/>
      <c r="B19" s="276" t="s">
        <v>364</v>
      </c>
      <c r="C19" s="277">
        <v>35.673000000000002</v>
      </c>
      <c r="D19" s="277">
        <v>29.606999999999999</v>
      </c>
      <c r="E19" s="277">
        <v>34.923000000000002</v>
      </c>
      <c r="F19" s="277">
        <v>37.597999999999999</v>
      </c>
      <c r="G19" s="277">
        <v>2.254</v>
      </c>
      <c r="H19" s="277"/>
      <c r="I19" s="277">
        <v>11.956</v>
      </c>
      <c r="J19" s="277">
        <v>7.7480000000000002</v>
      </c>
      <c r="K19" s="277">
        <v>11.654</v>
      </c>
      <c r="L19" s="277">
        <v>8.8119999999999994</v>
      </c>
      <c r="M19" s="277">
        <v>5.7370000000000001</v>
      </c>
      <c r="N19" s="277">
        <v>7.7069999999999999</v>
      </c>
      <c r="O19" s="277">
        <v>-20.001999999999999</v>
      </c>
      <c r="P19" s="278">
        <v>2.5630000000000002</v>
      </c>
    </row>
    <row r="20" spans="1:16">
      <c r="A20" s="259"/>
      <c r="B20" s="276" t="s">
        <v>365</v>
      </c>
      <c r="C20" s="277">
        <v>76.682000000000002</v>
      </c>
      <c r="D20" s="277">
        <v>0</v>
      </c>
      <c r="E20" s="277">
        <v>0</v>
      </c>
      <c r="F20" s="277">
        <v>0</v>
      </c>
      <c r="G20" s="277">
        <v>0</v>
      </c>
      <c r="H20" s="277"/>
      <c r="I20" s="277">
        <v>0</v>
      </c>
      <c r="J20" s="277">
        <v>0</v>
      </c>
      <c r="K20" s="277">
        <v>0</v>
      </c>
      <c r="L20" s="277">
        <v>0</v>
      </c>
      <c r="M20" s="277">
        <v>0</v>
      </c>
      <c r="N20" s="277">
        <v>0</v>
      </c>
      <c r="O20" s="277">
        <v>0</v>
      </c>
      <c r="P20" s="278">
        <v>0</v>
      </c>
    </row>
    <row r="21" spans="1:16">
      <c r="B21" s="272" t="s">
        <v>324</v>
      </c>
      <c r="C21" s="476">
        <f>SUM(C15:C20)</f>
        <v>597.55199999999991</v>
      </c>
      <c r="D21" s="476">
        <f t="shared" ref="D21:G21" si="6">SUM(D15:D20)</f>
        <v>611.85499999999968</v>
      </c>
      <c r="E21" s="476">
        <f t="shared" si="6"/>
        <v>754.04900000000021</v>
      </c>
      <c r="F21" s="476">
        <f t="shared" si="6"/>
        <v>625.45499999999981</v>
      </c>
      <c r="G21" s="476">
        <f t="shared" si="6"/>
        <v>524.79999999999995</v>
      </c>
      <c r="H21" s="477"/>
      <c r="I21" s="476">
        <f t="shared" ref="I21:O21" si="7">SUM(I15:I20)</f>
        <v>166.92400000000001</v>
      </c>
      <c r="J21" s="476">
        <f t="shared" si="7"/>
        <v>168.97000000000003</v>
      </c>
      <c r="K21" s="476">
        <f t="shared" si="7"/>
        <v>162.69200000000006</v>
      </c>
      <c r="L21" s="476">
        <f t="shared" si="7"/>
        <v>129.93399999999997</v>
      </c>
      <c r="M21" s="476">
        <f t="shared" si="7"/>
        <v>184.50299999999999</v>
      </c>
      <c r="N21" s="476">
        <f t="shared" si="7"/>
        <v>156.57099999999994</v>
      </c>
      <c r="O21" s="476">
        <f t="shared" si="7"/>
        <v>53.792000000000044</v>
      </c>
      <c r="P21" s="478">
        <f t="shared" ref="P21" si="8">SUM(P15:P20)</f>
        <v>89.442000000000007</v>
      </c>
    </row>
    <row r="22" spans="1:16">
      <c r="B22" s="281"/>
      <c r="C22" s="279"/>
      <c r="D22" s="279"/>
      <c r="E22" s="279"/>
      <c r="F22" s="279"/>
      <c r="G22" s="279"/>
      <c r="H22" s="277"/>
      <c r="I22" s="279"/>
      <c r="J22" s="279"/>
      <c r="K22" s="279"/>
      <c r="L22" s="279"/>
      <c r="M22" s="279"/>
      <c r="N22" s="279"/>
      <c r="O22" s="279"/>
      <c r="P22" s="280"/>
    </row>
    <row r="23" spans="1:16" ht="15.5">
      <c r="A23" s="259"/>
      <c r="B23" s="282" t="s">
        <v>500</v>
      </c>
      <c r="C23" s="279">
        <v>1014.962</v>
      </c>
      <c r="D23" s="279">
        <v>1203.5519999999999</v>
      </c>
      <c r="E23" s="279">
        <v>1159.0450000000001</v>
      </c>
      <c r="F23" s="279">
        <v>1206.8440000000001</v>
      </c>
      <c r="G23" s="279">
        <v>1237.6969999999999</v>
      </c>
      <c r="H23" s="279"/>
      <c r="I23" s="279">
        <v>317.52100000000002</v>
      </c>
      <c r="J23" s="279">
        <v>314.79000000000002</v>
      </c>
      <c r="K23" s="279">
        <v>306.72300000000001</v>
      </c>
      <c r="L23" s="279">
        <v>277.52199999999999</v>
      </c>
      <c r="M23" s="279">
        <v>347.67599999999999</v>
      </c>
      <c r="N23" s="279">
        <v>328.89800000000002</v>
      </c>
      <c r="O23" s="279">
        <v>283.60000000000002</v>
      </c>
      <c r="P23" s="280">
        <v>278.96100000000001</v>
      </c>
    </row>
    <row r="24" spans="1:16">
      <c r="B24" s="276"/>
      <c r="C24" s="279"/>
      <c r="D24" s="279"/>
      <c r="E24" s="279"/>
      <c r="F24" s="279"/>
      <c r="G24" s="279"/>
      <c r="H24" s="277"/>
      <c r="I24" s="279"/>
      <c r="J24" s="279"/>
      <c r="K24" s="279"/>
      <c r="L24" s="279"/>
      <c r="M24" s="279"/>
      <c r="N24" s="279"/>
      <c r="O24" s="279"/>
      <c r="P24" s="280"/>
    </row>
    <row r="25" spans="1:16" ht="16.5">
      <c r="B25" s="467" t="s">
        <v>502</v>
      </c>
      <c r="C25" s="279"/>
      <c r="D25" s="279"/>
      <c r="E25" s="279"/>
      <c r="F25" s="279"/>
      <c r="G25" s="279"/>
      <c r="H25" s="277"/>
      <c r="I25" s="279"/>
      <c r="J25" s="279"/>
      <c r="K25" s="279"/>
      <c r="L25" s="279"/>
      <c r="M25" s="279"/>
      <c r="N25" s="279"/>
      <c r="O25" s="279"/>
      <c r="P25" s="280"/>
    </row>
    <row r="26" spans="1:16">
      <c r="A26" s="259"/>
      <c r="B26" s="272" t="s">
        <v>318</v>
      </c>
      <c r="C26" s="273">
        <v>72.995000000000005</v>
      </c>
      <c r="D26" s="273">
        <v>74.974000000000004</v>
      </c>
      <c r="E26" s="273">
        <v>82.287000000000006</v>
      </c>
      <c r="F26" s="273">
        <v>87.566999999999993</v>
      </c>
      <c r="G26" s="273">
        <v>81.787000000000006</v>
      </c>
      <c r="H26" s="274"/>
      <c r="I26" s="273">
        <v>24.966999999999999</v>
      </c>
      <c r="J26" s="273">
        <v>27.212</v>
      </c>
      <c r="K26" s="273">
        <v>15.377000000000001</v>
      </c>
      <c r="L26" s="273">
        <v>20.216999999999999</v>
      </c>
      <c r="M26" s="273">
        <v>18.483000000000001</v>
      </c>
      <c r="N26" s="273">
        <v>22.92</v>
      </c>
      <c r="O26" s="273">
        <v>20.167000000000002</v>
      </c>
      <c r="P26" s="275">
        <v>21.332000000000001</v>
      </c>
    </row>
    <row r="27" spans="1:16">
      <c r="A27" s="259"/>
      <c r="B27" s="276" t="s">
        <v>360</v>
      </c>
      <c r="C27" s="277">
        <v>-45.332999999999998</v>
      </c>
      <c r="D27" s="277">
        <v>-36.963999999999999</v>
      </c>
      <c r="E27" s="277">
        <v>-46.442</v>
      </c>
      <c r="F27" s="277">
        <v>-41.09</v>
      </c>
      <c r="G27" s="277">
        <v>-41.473999999999997</v>
      </c>
      <c r="H27" s="277"/>
      <c r="I27" s="277">
        <v>-19.044</v>
      </c>
      <c r="J27" s="277">
        <v>-7.8819999999999997</v>
      </c>
      <c r="K27" s="277">
        <v>-1.8280000000000001</v>
      </c>
      <c r="L27" s="277">
        <v>-12.638999999999999</v>
      </c>
      <c r="M27" s="277">
        <v>-12.016</v>
      </c>
      <c r="N27" s="277">
        <v>-14.179</v>
      </c>
      <c r="O27" s="277">
        <v>-2.64</v>
      </c>
      <c r="P27" s="278">
        <v>-14.981999999999999</v>
      </c>
    </row>
    <row r="28" spans="1:16">
      <c r="A28" s="259"/>
      <c r="B28" s="272" t="s">
        <v>99</v>
      </c>
      <c r="C28" s="476">
        <f>SUM(C26:C27)</f>
        <v>27.662000000000006</v>
      </c>
      <c r="D28" s="476">
        <f t="shared" ref="D28:G28" si="9">SUM(D26:D27)</f>
        <v>38.010000000000005</v>
      </c>
      <c r="E28" s="476">
        <f t="shared" si="9"/>
        <v>35.845000000000006</v>
      </c>
      <c r="F28" s="476">
        <f t="shared" si="9"/>
        <v>46.47699999999999</v>
      </c>
      <c r="G28" s="476">
        <f t="shared" si="9"/>
        <v>40.313000000000009</v>
      </c>
      <c r="H28" s="477"/>
      <c r="I28" s="476">
        <f t="shared" ref="I28:O28" si="10">SUM(I26:I27)</f>
        <v>5.9229999999999983</v>
      </c>
      <c r="J28" s="476">
        <f t="shared" si="10"/>
        <v>19.329999999999998</v>
      </c>
      <c r="K28" s="476">
        <f t="shared" si="10"/>
        <v>13.549000000000001</v>
      </c>
      <c r="L28" s="476">
        <f t="shared" si="10"/>
        <v>7.5779999999999994</v>
      </c>
      <c r="M28" s="476">
        <f t="shared" si="10"/>
        <v>6.4670000000000005</v>
      </c>
      <c r="N28" s="476">
        <f t="shared" si="10"/>
        <v>8.7410000000000014</v>
      </c>
      <c r="O28" s="476">
        <f t="shared" si="10"/>
        <v>17.527000000000001</v>
      </c>
      <c r="P28" s="478">
        <f t="shared" ref="P28" si="11">SUM(P26:P27)</f>
        <v>6.3500000000000014</v>
      </c>
    </row>
    <row r="29" spans="1:16">
      <c r="A29" s="259"/>
      <c r="B29" s="276" t="s">
        <v>361</v>
      </c>
      <c r="C29" s="277">
        <v>-0.42</v>
      </c>
      <c r="D29" s="277">
        <v>-0.1</v>
      </c>
      <c r="E29" s="277">
        <v>-0.32300000000000001</v>
      </c>
      <c r="F29" s="277">
        <v>0</v>
      </c>
      <c r="G29" s="277">
        <v>0</v>
      </c>
      <c r="H29" s="277"/>
      <c r="I29" s="277">
        <v>0</v>
      </c>
      <c r="J29" s="277">
        <v>0</v>
      </c>
      <c r="K29" s="277">
        <v>0</v>
      </c>
      <c r="L29" s="277">
        <v>0</v>
      </c>
      <c r="M29" s="277">
        <v>0</v>
      </c>
      <c r="N29" s="277">
        <v>0</v>
      </c>
      <c r="O29" s="277">
        <v>0</v>
      </c>
      <c r="P29" s="278">
        <v>0</v>
      </c>
    </row>
    <row r="30" spans="1:16">
      <c r="A30" s="259"/>
      <c r="B30" s="276" t="s">
        <v>362</v>
      </c>
      <c r="C30" s="277">
        <v>-13.532</v>
      </c>
      <c r="D30" s="277">
        <v>-15.272</v>
      </c>
      <c r="E30" s="277">
        <v>-3.0169999999999999</v>
      </c>
      <c r="F30" s="277">
        <v>-7.9809999999999999</v>
      </c>
      <c r="G30" s="277">
        <v>-15.648999999999999</v>
      </c>
      <c r="H30" s="277"/>
      <c r="I30" s="277">
        <v>5.4749999999999996</v>
      </c>
      <c r="J30" s="277">
        <v>-6.5679999999999996</v>
      </c>
      <c r="K30" s="277">
        <v>-1.964</v>
      </c>
      <c r="L30" s="277">
        <v>-4.5190000000000001</v>
      </c>
      <c r="M30" s="277">
        <v>-5.0839999999999996</v>
      </c>
      <c r="N30" s="277">
        <v>3.0369999999999999</v>
      </c>
      <c r="O30" s="277">
        <v>-9.0830000000000002</v>
      </c>
      <c r="P30" s="278">
        <v>-1.881</v>
      </c>
    </row>
    <row r="31" spans="1:16">
      <c r="A31" s="259"/>
      <c r="B31" s="272" t="s">
        <v>363</v>
      </c>
      <c r="C31" s="476">
        <f>SUM(C28:C30)</f>
        <v>13.710000000000004</v>
      </c>
      <c r="D31" s="476">
        <f t="shared" ref="D31:G31" si="12">SUM(D28:D30)</f>
        <v>22.638000000000005</v>
      </c>
      <c r="E31" s="476">
        <f t="shared" si="12"/>
        <v>32.505000000000003</v>
      </c>
      <c r="F31" s="476">
        <f t="shared" si="12"/>
        <v>38.495999999999988</v>
      </c>
      <c r="G31" s="476">
        <f t="shared" si="12"/>
        <v>24.664000000000009</v>
      </c>
      <c r="H31" s="477"/>
      <c r="I31" s="476">
        <f t="shared" ref="I31:O31" si="13">SUM(I28:I30)</f>
        <v>11.397999999999998</v>
      </c>
      <c r="J31" s="476">
        <f t="shared" si="13"/>
        <v>12.761999999999999</v>
      </c>
      <c r="K31" s="476">
        <f t="shared" si="13"/>
        <v>11.585000000000001</v>
      </c>
      <c r="L31" s="476">
        <f t="shared" si="13"/>
        <v>3.0589999999999993</v>
      </c>
      <c r="M31" s="476">
        <f t="shared" si="13"/>
        <v>1.3830000000000009</v>
      </c>
      <c r="N31" s="476">
        <f t="shared" si="13"/>
        <v>11.778000000000002</v>
      </c>
      <c r="O31" s="476">
        <f t="shared" si="13"/>
        <v>8.4440000000000008</v>
      </c>
      <c r="P31" s="478">
        <f t="shared" ref="P31" si="14">SUM(P28:P30)</f>
        <v>4.4690000000000012</v>
      </c>
    </row>
    <row r="32" spans="1:16">
      <c r="A32" s="259"/>
      <c r="B32" s="276" t="s">
        <v>10</v>
      </c>
      <c r="C32" s="277">
        <v>-0.61899999999999999</v>
      </c>
      <c r="D32" s="277">
        <v>-1.147</v>
      </c>
      <c r="E32" s="277">
        <v>-1.3120000000000001</v>
      </c>
      <c r="F32" s="277">
        <v>-1.7569999999999999</v>
      </c>
      <c r="G32" s="277">
        <v>-2.4449999999999998</v>
      </c>
      <c r="H32" s="277"/>
      <c r="I32" s="277">
        <v>-0.36099999999999999</v>
      </c>
      <c r="J32" s="277">
        <v>-0.51900000000000002</v>
      </c>
      <c r="K32" s="277">
        <v>-0.59499999999999997</v>
      </c>
      <c r="L32" s="277">
        <v>-0.39200000000000002</v>
      </c>
      <c r="M32" s="277">
        <v>-0.30599999999999999</v>
      </c>
      <c r="N32" s="277">
        <v>-0.50800000000000001</v>
      </c>
      <c r="O32" s="277">
        <v>-1.2390000000000001</v>
      </c>
      <c r="P32" s="278">
        <v>-0.90200000000000002</v>
      </c>
    </row>
    <row r="33" spans="1:16">
      <c r="A33" s="259"/>
      <c r="B33" s="276" t="s">
        <v>213</v>
      </c>
      <c r="C33" s="277">
        <v>0.10199999999999999</v>
      </c>
      <c r="D33" s="277">
        <v>5.8999999999999997E-2</v>
      </c>
      <c r="E33" s="277">
        <v>0.112</v>
      </c>
      <c r="F33" s="277">
        <v>8.1000000000000003E-2</v>
      </c>
      <c r="G33" s="277">
        <v>7.1999999999999995E-2</v>
      </c>
      <c r="H33" s="277"/>
      <c r="I33" s="277">
        <v>-1E-3</v>
      </c>
      <c r="J33" s="277">
        <v>3.1E-2</v>
      </c>
      <c r="K33" s="277">
        <v>3.7999999999999999E-2</v>
      </c>
      <c r="L33" s="277">
        <v>1.7000000000000001E-2</v>
      </c>
      <c r="M33" s="277">
        <v>1.2999999999999999E-2</v>
      </c>
      <c r="N33" s="277">
        <v>4.1000000000000002E-2</v>
      </c>
      <c r="O33" s="277">
        <v>1E-3</v>
      </c>
      <c r="P33" s="278">
        <v>1.6E-2</v>
      </c>
    </row>
    <row r="34" spans="1:16">
      <c r="A34" s="259"/>
      <c r="B34" s="276" t="s">
        <v>156</v>
      </c>
      <c r="C34" s="277">
        <v>0</v>
      </c>
      <c r="D34" s="277">
        <v>0</v>
      </c>
      <c r="E34" s="277">
        <v>0</v>
      </c>
      <c r="F34" s="277">
        <v>0</v>
      </c>
      <c r="G34" s="277">
        <v>0</v>
      </c>
      <c r="H34" s="277"/>
      <c r="I34" s="277">
        <v>0</v>
      </c>
      <c r="J34" s="277">
        <v>0</v>
      </c>
      <c r="K34" s="277">
        <v>0</v>
      </c>
      <c r="L34" s="277">
        <v>0</v>
      </c>
      <c r="M34" s="277">
        <v>0</v>
      </c>
      <c r="N34" s="277">
        <v>0</v>
      </c>
      <c r="O34" s="277">
        <v>0</v>
      </c>
      <c r="P34" s="278">
        <v>0</v>
      </c>
    </row>
    <row r="35" spans="1:16">
      <c r="A35" s="259"/>
      <c r="B35" s="276" t="s">
        <v>364</v>
      </c>
      <c r="C35" s="277">
        <v>0</v>
      </c>
      <c r="D35" s="277">
        <v>0</v>
      </c>
      <c r="E35" s="277">
        <v>0</v>
      </c>
      <c r="F35" s="277">
        <v>0</v>
      </c>
      <c r="G35" s="277">
        <v>0</v>
      </c>
      <c r="H35" s="277"/>
      <c r="I35" s="277">
        <v>0</v>
      </c>
      <c r="J35" s="277">
        <v>0</v>
      </c>
      <c r="K35" s="277">
        <v>0</v>
      </c>
      <c r="L35" s="277">
        <v>0</v>
      </c>
      <c r="M35" s="277">
        <v>0</v>
      </c>
      <c r="N35" s="277">
        <v>0</v>
      </c>
      <c r="O35" s="277">
        <v>0</v>
      </c>
      <c r="P35" s="278">
        <v>0</v>
      </c>
    </row>
    <row r="36" spans="1:16">
      <c r="A36" s="259"/>
      <c r="B36" s="276" t="s">
        <v>365</v>
      </c>
      <c r="C36" s="277">
        <v>0</v>
      </c>
      <c r="D36" s="277">
        <v>0</v>
      </c>
      <c r="E36" s="277">
        <v>0</v>
      </c>
      <c r="F36" s="277">
        <v>0</v>
      </c>
      <c r="G36" s="277">
        <v>0</v>
      </c>
      <c r="H36" s="277"/>
      <c r="I36" s="277">
        <v>0</v>
      </c>
      <c r="J36" s="277">
        <v>0</v>
      </c>
      <c r="K36" s="277">
        <v>0</v>
      </c>
      <c r="L36" s="277">
        <v>0</v>
      </c>
      <c r="M36" s="277">
        <v>0</v>
      </c>
      <c r="N36" s="277">
        <v>0</v>
      </c>
      <c r="O36" s="277">
        <v>0</v>
      </c>
      <c r="P36" s="278">
        <v>0</v>
      </c>
    </row>
    <row r="37" spans="1:16">
      <c r="A37" s="259"/>
      <c r="B37" s="272" t="s">
        <v>324</v>
      </c>
      <c r="C37" s="476">
        <f>SUM(C31:C36)</f>
        <v>13.193000000000005</v>
      </c>
      <c r="D37" s="476">
        <f t="shared" ref="D37:G37" si="15">SUM(D31:D36)</f>
        <v>21.550000000000008</v>
      </c>
      <c r="E37" s="476">
        <f t="shared" si="15"/>
        <v>31.305</v>
      </c>
      <c r="F37" s="476">
        <f t="shared" si="15"/>
        <v>36.819999999999993</v>
      </c>
      <c r="G37" s="476">
        <f t="shared" si="15"/>
        <v>22.291000000000007</v>
      </c>
      <c r="H37" s="477"/>
      <c r="I37" s="476">
        <f t="shared" ref="I37:O37" si="16">SUM(I31:I36)</f>
        <v>11.035999999999998</v>
      </c>
      <c r="J37" s="476">
        <f t="shared" si="16"/>
        <v>12.273999999999999</v>
      </c>
      <c r="K37" s="476">
        <f t="shared" si="16"/>
        <v>11.028</v>
      </c>
      <c r="L37" s="476">
        <f t="shared" si="16"/>
        <v>2.6839999999999993</v>
      </c>
      <c r="M37" s="476">
        <f t="shared" si="16"/>
        <v>1.0900000000000007</v>
      </c>
      <c r="N37" s="476">
        <f t="shared" si="16"/>
        <v>11.311000000000003</v>
      </c>
      <c r="O37" s="476">
        <f t="shared" si="16"/>
        <v>7.2060000000000013</v>
      </c>
      <c r="P37" s="478">
        <f t="shared" ref="P37" si="17">SUM(P31:P36)</f>
        <v>3.5830000000000011</v>
      </c>
    </row>
    <row r="38" spans="1:16">
      <c r="A38" s="259"/>
      <c r="B38" s="281"/>
      <c r="C38" s="279"/>
      <c r="D38" s="279"/>
      <c r="E38" s="279"/>
      <c r="F38" s="279"/>
      <c r="G38" s="279"/>
      <c r="H38" s="277"/>
      <c r="I38" s="279"/>
      <c r="J38" s="279"/>
      <c r="K38" s="279"/>
      <c r="L38" s="279"/>
      <c r="M38" s="279"/>
      <c r="N38" s="279"/>
      <c r="O38" s="279"/>
      <c r="P38" s="280"/>
    </row>
    <row r="39" spans="1:16" ht="15.5">
      <c r="A39" s="259"/>
      <c r="B39" s="283" t="s">
        <v>500</v>
      </c>
      <c r="C39" s="261">
        <v>18.23</v>
      </c>
      <c r="D39" s="261">
        <v>28.31</v>
      </c>
      <c r="E39" s="261">
        <v>38.844000000000001</v>
      </c>
      <c r="F39" s="261">
        <v>45.033999999999999</v>
      </c>
      <c r="G39" s="261">
        <v>30.753</v>
      </c>
      <c r="H39" s="279"/>
      <c r="I39" s="261">
        <v>13.077999999999999</v>
      </c>
      <c r="J39" s="261">
        <v>14.096</v>
      </c>
      <c r="K39" s="261">
        <v>13.449</v>
      </c>
      <c r="L39" s="261">
        <v>4.4980000000000002</v>
      </c>
      <c r="M39" s="261">
        <v>2.359</v>
      </c>
      <c r="N39" s="261">
        <v>13.776999999999999</v>
      </c>
      <c r="O39" s="261">
        <v>10.119</v>
      </c>
      <c r="P39" s="284">
        <v>6.0270000000000001</v>
      </c>
    </row>
    <row r="40" spans="1:16">
      <c r="A40" s="259"/>
      <c r="B40" s="276"/>
      <c r="C40" s="262"/>
      <c r="D40" s="262"/>
      <c r="E40" s="262"/>
      <c r="F40" s="262"/>
      <c r="G40" s="262"/>
      <c r="H40" s="262"/>
      <c r="I40" s="262"/>
      <c r="J40" s="262"/>
      <c r="K40" s="262"/>
      <c r="L40" s="262"/>
      <c r="M40" s="262"/>
      <c r="N40" s="262"/>
      <c r="O40" s="262"/>
      <c r="P40" s="285"/>
    </row>
    <row r="41" spans="1:16">
      <c r="A41" s="259"/>
      <c r="B41" s="276" t="s">
        <v>495</v>
      </c>
      <c r="C41" s="262"/>
      <c r="D41" s="262"/>
      <c r="E41" s="262"/>
      <c r="F41" s="262"/>
      <c r="G41" s="262"/>
      <c r="H41" s="262"/>
      <c r="I41" s="262"/>
      <c r="J41" s="262"/>
      <c r="K41" s="262"/>
      <c r="L41" s="262"/>
      <c r="M41" s="262"/>
      <c r="N41" s="262"/>
      <c r="O41" s="262"/>
      <c r="P41" s="285"/>
    </row>
    <row r="42" spans="1:16">
      <c r="A42" s="259"/>
      <c r="B42" s="276" t="s">
        <v>496</v>
      </c>
      <c r="C42" s="262"/>
      <c r="D42" s="262"/>
      <c r="E42" s="262"/>
      <c r="F42" s="262"/>
      <c r="G42" s="262"/>
      <c r="H42" s="262"/>
      <c r="I42" s="262"/>
      <c r="J42" s="262"/>
      <c r="K42" s="262"/>
      <c r="L42" s="262"/>
      <c r="M42" s="262"/>
      <c r="N42" s="262"/>
      <c r="O42" s="262"/>
      <c r="P42" s="285"/>
    </row>
    <row r="43" spans="1:16">
      <c r="A43" s="259"/>
      <c r="B43" s="286" t="s">
        <v>503</v>
      </c>
      <c r="C43" s="262"/>
      <c r="D43" s="262"/>
      <c r="E43" s="262"/>
      <c r="F43" s="262"/>
      <c r="G43" s="262"/>
      <c r="H43" s="262"/>
      <c r="I43" s="262"/>
      <c r="J43" s="262"/>
      <c r="K43" s="262"/>
      <c r="L43" s="262"/>
      <c r="M43" s="262"/>
      <c r="N43" s="262"/>
      <c r="O43" s="262"/>
      <c r="P43" s="285"/>
    </row>
    <row r="44" spans="1:16" ht="3" customHeight="1">
      <c r="A44" s="259"/>
    </row>
  </sheetData>
  <sheetProtection algorithmName="SHA-512" hashValue="Hrj/WnNP850LtW7aKvUqt49uptK8gA7HWCvRSsbE9JxzLywH3X1B6JZEX9eQ/PPO/je3ucyJFrsSmitHWfuvnQ==" saltValue="j2/H1dVO6C6m+s2CRQr9F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B44F-7874-416A-85E7-781B2CF37094}">
  <dimension ref="A1:Q67"/>
  <sheetViews>
    <sheetView showGridLines="0" zoomScale="90" zoomScaleNormal="90" workbookViewId="0"/>
  </sheetViews>
  <sheetFormatPr defaultColWidth="0" defaultRowHeight="14" zeroHeight="1"/>
  <cols>
    <col min="1" max="1" width="0.5" style="256" customWidth="1"/>
    <col min="2" max="2" width="50.69921875" style="257" customWidth="1"/>
    <col min="3" max="7" width="10.69921875" style="257" customWidth="1"/>
    <col min="8" max="8" width="4.69921875" style="257" customWidth="1"/>
    <col min="9" max="16" width="10.69921875" style="257" customWidth="1"/>
    <col min="17" max="17" width="0.59765625" style="257" customWidth="1"/>
    <col min="18" max="16384" width="8.796875" style="257" hidden="1"/>
  </cols>
  <sheetData>
    <row r="1" spans="1:16" ht="3.5" customHeight="1">
      <c r="C1" s="258"/>
    </row>
    <row r="2" spans="1:16" ht="17" customHeight="1">
      <c r="B2" s="160"/>
      <c r="C2" s="264"/>
      <c r="D2" s="289"/>
      <c r="E2" s="289"/>
      <c r="F2" s="289"/>
      <c r="G2" s="289"/>
      <c r="H2" s="289"/>
      <c r="I2" s="289"/>
      <c r="J2" s="289"/>
      <c r="K2" s="289"/>
      <c r="L2" s="289"/>
      <c r="M2" s="289"/>
      <c r="N2" s="289"/>
      <c r="O2" s="289"/>
      <c r="P2" s="290"/>
    </row>
    <row r="3" spans="1:16" ht="17" customHeight="1">
      <c r="B3" s="205"/>
      <c r="C3" s="258"/>
      <c r="P3" s="287"/>
    </row>
    <row r="4" spans="1:16" ht="17" customHeight="1">
      <c r="B4" s="397" t="s">
        <v>227</v>
      </c>
      <c r="C4" s="258"/>
      <c r="P4" s="287"/>
    </row>
    <row r="5" spans="1:16" ht="17" customHeight="1">
      <c r="B5" s="397" t="s">
        <v>279</v>
      </c>
      <c r="C5" s="258"/>
      <c r="D5" s="258"/>
      <c r="E5" s="258"/>
      <c r="F5" s="258"/>
      <c r="G5" s="258"/>
      <c r="H5" s="258"/>
      <c r="I5" s="258"/>
      <c r="J5" s="258"/>
      <c r="K5" s="258"/>
      <c r="L5" s="258"/>
      <c r="M5" s="258"/>
      <c r="N5" s="258"/>
      <c r="O5" s="258"/>
      <c r="P5" s="267"/>
    </row>
    <row r="6" spans="1:16" ht="14" customHeight="1">
      <c r="B6" s="268"/>
      <c r="C6" s="266"/>
      <c r="D6" s="258"/>
      <c r="E6" s="258"/>
      <c r="F6" s="258"/>
      <c r="G6" s="258"/>
      <c r="H6" s="258"/>
      <c r="I6" s="258"/>
      <c r="J6" s="258"/>
      <c r="K6" s="258"/>
      <c r="L6" s="258"/>
      <c r="M6" s="258"/>
      <c r="N6" s="258"/>
      <c r="O6" s="258"/>
      <c r="P6" s="267"/>
    </row>
    <row r="7" spans="1:16" ht="14" customHeight="1" thickBot="1">
      <c r="B7" s="269"/>
      <c r="C7" s="504" t="s">
        <v>498</v>
      </c>
      <c r="D7" s="504"/>
      <c r="E7" s="504"/>
      <c r="F7" s="504"/>
      <c r="G7" s="504"/>
      <c r="H7" s="210"/>
      <c r="I7" s="504" t="s">
        <v>499</v>
      </c>
      <c r="J7" s="504"/>
      <c r="K7" s="504"/>
      <c r="L7" s="504"/>
      <c r="M7" s="504"/>
      <c r="N7" s="504"/>
      <c r="O7" s="504"/>
      <c r="P7" s="505"/>
    </row>
    <row r="8" spans="1:16" ht="14" customHeight="1" thickBot="1">
      <c r="B8" s="466" t="s">
        <v>359</v>
      </c>
      <c r="C8" s="462" t="s">
        <v>353</v>
      </c>
      <c r="D8" s="462" t="s">
        <v>354</v>
      </c>
      <c r="E8" s="462" t="s">
        <v>355</v>
      </c>
      <c r="F8" s="462" t="s">
        <v>468</v>
      </c>
      <c r="G8" s="462" t="s">
        <v>538</v>
      </c>
      <c r="H8" s="463"/>
      <c r="I8" s="462" t="s">
        <v>345</v>
      </c>
      <c r="J8" s="462" t="s">
        <v>464</v>
      </c>
      <c r="K8" s="462" t="s">
        <v>473</v>
      </c>
      <c r="L8" s="462" t="s">
        <v>487</v>
      </c>
      <c r="M8" s="462" t="s">
        <v>490</v>
      </c>
      <c r="N8" s="462" t="s">
        <v>494</v>
      </c>
      <c r="O8" s="462" t="s">
        <v>539</v>
      </c>
      <c r="P8" s="464" t="s">
        <v>543</v>
      </c>
    </row>
    <row r="9" spans="1:16" ht="14" customHeight="1">
      <c r="B9" s="272" t="s">
        <v>375</v>
      </c>
      <c r="C9" s="291"/>
      <c r="D9" s="291"/>
      <c r="E9" s="291"/>
      <c r="F9" s="291"/>
      <c r="G9" s="291"/>
      <c r="H9" s="291"/>
      <c r="I9" s="291"/>
      <c r="J9" s="291"/>
      <c r="K9" s="291"/>
      <c r="L9" s="291"/>
      <c r="M9" s="291"/>
      <c r="N9" s="291"/>
      <c r="O9" s="291"/>
      <c r="P9" s="292"/>
    </row>
    <row r="10" spans="1:16" ht="14" customHeight="1">
      <c r="B10" s="272" t="s">
        <v>376</v>
      </c>
      <c r="C10" s="291"/>
      <c r="D10" s="291"/>
      <c r="E10" s="291"/>
      <c r="F10" s="291"/>
      <c r="G10" s="291"/>
      <c r="H10" s="291"/>
      <c r="I10" s="291"/>
      <c r="J10" s="291"/>
      <c r="K10" s="291"/>
      <c r="L10" s="291"/>
      <c r="M10" s="291"/>
      <c r="N10" s="291"/>
      <c r="O10" s="291"/>
      <c r="P10" s="292"/>
    </row>
    <row r="11" spans="1:16">
      <c r="A11" s="190"/>
      <c r="B11" s="276" t="s">
        <v>79</v>
      </c>
      <c r="C11" s="277">
        <v>201.65600000000001</v>
      </c>
      <c r="D11" s="277">
        <v>252.041</v>
      </c>
      <c r="E11" s="277">
        <v>258.27600000000001</v>
      </c>
      <c r="F11" s="277">
        <v>306.57600000000002</v>
      </c>
      <c r="G11" s="277">
        <v>244.89599999999999</v>
      </c>
      <c r="H11" s="277"/>
      <c r="I11" s="277">
        <v>367.01100000000002</v>
      </c>
      <c r="J11" s="277">
        <v>315.14699999999999</v>
      </c>
      <c r="K11" s="277">
        <v>306.57600000000002</v>
      </c>
      <c r="L11" s="277">
        <v>351.12799999999999</v>
      </c>
      <c r="M11" s="277">
        <v>275.947</v>
      </c>
      <c r="N11" s="277">
        <v>307.10899999999998</v>
      </c>
      <c r="O11" s="277">
        <v>244.89599999999999</v>
      </c>
      <c r="P11" s="278">
        <v>252.309</v>
      </c>
    </row>
    <row r="12" spans="1:16">
      <c r="A12" s="190"/>
      <c r="B12" s="276" t="s">
        <v>377</v>
      </c>
      <c r="C12" s="277">
        <v>4812.7020000000002</v>
      </c>
      <c r="D12" s="277">
        <v>4752.6729999999998</v>
      </c>
      <c r="E12" s="277">
        <v>4471.6869999999999</v>
      </c>
      <c r="F12" s="277">
        <v>4449.5780000000004</v>
      </c>
      <c r="G12" s="277">
        <v>4472.4830000000002</v>
      </c>
      <c r="H12" s="277"/>
      <c r="I12" s="277">
        <v>4413.3689999999997</v>
      </c>
      <c r="J12" s="277">
        <v>4443.1540000000005</v>
      </c>
      <c r="K12" s="277">
        <v>4449.5780000000004</v>
      </c>
      <c r="L12" s="277">
        <v>4394.4650000000001</v>
      </c>
      <c r="M12" s="277">
        <v>4476.1859999999997</v>
      </c>
      <c r="N12" s="277">
        <v>4460.4870000000001</v>
      </c>
      <c r="O12" s="277">
        <v>4472.4830000000002</v>
      </c>
      <c r="P12" s="278">
        <v>4449.83</v>
      </c>
    </row>
    <row r="13" spans="1:16">
      <c r="A13" s="190"/>
      <c r="B13" s="276" t="s">
        <v>378</v>
      </c>
      <c r="C13" s="277">
        <v>210.33099999999999</v>
      </c>
      <c r="D13" s="277">
        <v>192.84899999999999</v>
      </c>
      <c r="E13" s="277">
        <v>271.017</v>
      </c>
      <c r="F13" s="277">
        <v>252.93600000000001</v>
      </c>
      <c r="G13" s="277">
        <v>254.393</v>
      </c>
      <c r="H13" s="277"/>
      <c r="I13" s="277">
        <v>258.57600000000002</v>
      </c>
      <c r="J13" s="277">
        <v>252.648</v>
      </c>
      <c r="K13" s="277">
        <v>252.93600000000001</v>
      </c>
      <c r="L13" s="277">
        <v>245.012</v>
      </c>
      <c r="M13" s="277">
        <v>269.02</v>
      </c>
      <c r="N13" s="277">
        <v>261.21199999999999</v>
      </c>
      <c r="O13" s="277">
        <v>254.393</v>
      </c>
      <c r="P13" s="278">
        <v>250</v>
      </c>
    </row>
    <row r="14" spans="1:16">
      <c r="A14" s="190"/>
      <c r="B14" s="276" t="s">
        <v>379</v>
      </c>
      <c r="C14" s="277">
        <v>4284.4520000000002</v>
      </c>
      <c r="D14" s="277">
        <v>4152.09</v>
      </c>
      <c r="E14" s="277">
        <v>4049.4450000000002</v>
      </c>
      <c r="F14" s="277">
        <v>3981.1390000000001</v>
      </c>
      <c r="G14" s="277">
        <v>3878.8040000000001</v>
      </c>
      <c r="H14" s="277"/>
      <c r="I14" s="277">
        <v>3997.75</v>
      </c>
      <c r="J14" s="277">
        <v>3995.538</v>
      </c>
      <c r="K14" s="277">
        <v>3981.1390000000001</v>
      </c>
      <c r="L14" s="277">
        <v>3954.1060000000002</v>
      </c>
      <c r="M14" s="277">
        <v>3933.3589999999999</v>
      </c>
      <c r="N14" s="277">
        <v>3905.9229999999998</v>
      </c>
      <c r="O14" s="277">
        <v>3878.8040000000001</v>
      </c>
      <c r="P14" s="278">
        <v>3868.9110000000001</v>
      </c>
    </row>
    <row r="15" spans="1:16">
      <c r="A15" s="190"/>
      <c r="B15" s="276" t="s">
        <v>60</v>
      </c>
      <c r="C15" s="277">
        <v>2688.69</v>
      </c>
      <c r="D15" s="277">
        <v>2577.8910000000001</v>
      </c>
      <c r="E15" s="277">
        <v>2522.8719999999998</v>
      </c>
      <c r="F15" s="277">
        <v>2444.732</v>
      </c>
      <c r="G15" s="277">
        <v>2331.598</v>
      </c>
      <c r="H15" s="277"/>
      <c r="I15" s="277">
        <v>2464.8539999999998</v>
      </c>
      <c r="J15" s="277">
        <v>2474.4639999999999</v>
      </c>
      <c r="K15" s="277">
        <v>2444.732</v>
      </c>
      <c r="L15" s="277">
        <v>2412.1370000000002</v>
      </c>
      <c r="M15" s="277">
        <v>2397.136</v>
      </c>
      <c r="N15" s="277">
        <v>2351.672</v>
      </c>
      <c r="O15" s="277">
        <v>2331.598</v>
      </c>
      <c r="P15" s="278">
        <v>2292.7060000000001</v>
      </c>
    </row>
    <row r="16" spans="1:16">
      <c r="B16" s="276" t="s">
        <v>380</v>
      </c>
      <c r="C16" s="277">
        <v>372.79</v>
      </c>
      <c r="D16" s="277">
        <v>457.28800000000001</v>
      </c>
      <c r="E16" s="277">
        <v>622.39</v>
      </c>
      <c r="F16" s="277">
        <v>622.41999999999996</v>
      </c>
      <c r="G16" s="277">
        <v>1723.8130000000001</v>
      </c>
      <c r="H16" s="277"/>
      <c r="I16" s="277">
        <v>648.89300000000003</v>
      </c>
      <c r="J16" s="277">
        <v>613.12400000000002</v>
      </c>
      <c r="K16" s="277">
        <v>622.41999999999996</v>
      </c>
      <c r="L16" s="277">
        <v>625.77</v>
      </c>
      <c r="M16" s="277">
        <v>619.87099999999998</v>
      </c>
      <c r="N16" s="277">
        <v>624.72199999999998</v>
      </c>
      <c r="O16" s="277">
        <v>1723.8130000000001</v>
      </c>
      <c r="P16" s="278">
        <v>1731.932</v>
      </c>
    </row>
    <row r="17" spans="2:16">
      <c r="B17" s="276" t="s">
        <v>381</v>
      </c>
      <c r="C17" s="277">
        <v>0</v>
      </c>
      <c r="D17" s="277">
        <v>0</v>
      </c>
      <c r="E17" s="277">
        <v>0</v>
      </c>
      <c r="F17" s="277">
        <v>0</v>
      </c>
      <c r="G17" s="277">
        <v>0</v>
      </c>
      <c r="H17" s="277"/>
      <c r="I17" s="277">
        <v>0</v>
      </c>
      <c r="J17" s="277">
        <v>0</v>
      </c>
      <c r="K17" s="277">
        <v>0</v>
      </c>
      <c r="L17" s="277">
        <v>0</v>
      </c>
      <c r="M17" s="277">
        <v>0</v>
      </c>
      <c r="N17" s="277">
        <v>0</v>
      </c>
      <c r="O17" s="277">
        <v>0</v>
      </c>
      <c r="P17" s="278">
        <v>0</v>
      </c>
    </row>
    <row r="18" spans="2:16">
      <c r="B18" s="276" t="s">
        <v>382</v>
      </c>
      <c r="C18" s="277">
        <v>0</v>
      </c>
      <c r="D18" s="277">
        <v>0</v>
      </c>
      <c r="E18" s="277">
        <v>14.308999999999999</v>
      </c>
      <c r="F18" s="277">
        <v>9.5380000000000003</v>
      </c>
      <c r="G18" s="277">
        <v>10.663</v>
      </c>
      <c r="H18" s="277"/>
      <c r="I18" s="277">
        <v>12.257</v>
      </c>
      <c r="J18" s="277">
        <v>9.5510000000000002</v>
      </c>
      <c r="K18" s="277">
        <v>9.5380000000000003</v>
      </c>
      <c r="L18" s="277">
        <v>9.5380000000000003</v>
      </c>
      <c r="M18" s="277">
        <v>8.0890000000000004</v>
      </c>
      <c r="N18" s="277">
        <v>10.663</v>
      </c>
      <c r="O18" s="277">
        <v>10.663</v>
      </c>
      <c r="P18" s="278">
        <v>6.85</v>
      </c>
    </row>
    <row r="19" spans="2:16">
      <c r="B19" s="276"/>
      <c r="C19" s="476">
        <f>SUM(C11:C18)</f>
        <v>12570.621000000001</v>
      </c>
      <c r="D19" s="476">
        <f t="shared" ref="D19:G19" si="0">SUM(D11:D18)</f>
        <v>12384.832</v>
      </c>
      <c r="E19" s="476">
        <f t="shared" si="0"/>
        <v>12209.995999999997</v>
      </c>
      <c r="F19" s="476">
        <f t="shared" si="0"/>
        <v>12066.919</v>
      </c>
      <c r="G19" s="476">
        <f t="shared" si="0"/>
        <v>12916.650000000001</v>
      </c>
      <c r="H19" s="477"/>
      <c r="I19" s="476">
        <f t="shared" ref="I19:O19" si="1">SUM(I11:I18)</f>
        <v>12162.71</v>
      </c>
      <c r="J19" s="476">
        <f t="shared" si="1"/>
        <v>12103.626</v>
      </c>
      <c r="K19" s="476">
        <f t="shared" si="1"/>
        <v>12066.919</v>
      </c>
      <c r="L19" s="476">
        <f t="shared" si="1"/>
        <v>11992.156000000001</v>
      </c>
      <c r="M19" s="476">
        <f t="shared" si="1"/>
        <v>11979.608</v>
      </c>
      <c r="N19" s="476">
        <f t="shared" si="1"/>
        <v>11921.788</v>
      </c>
      <c r="O19" s="476">
        <f t="shared" si="1"/>
        <v>12916.650000000001</v>
      </c>
      <c r="P19" s="478">
        <f t="shared" ref="P19" si="2">SUM(P11:P18)</f>
        <v>12852.538</v>
      </c>
    </row>
    <row r="20" spans="2:16">
      <c r="B20" s="272" t="s">
        <v>383</v>
      </c>
      <c r="C20" s="279"/>
      <c r="D20" s="279"/>
      <c r="E20" s="279"/>
      <c r="F20" s="279"/>
      <c r="G20" s="279"/>
      <c r="H20" s="277"/>
      <c r="I20" s="279"/>
      <c r="J20" s="279"/>
      <c r="K20" s="279"/>
      <c r="L20" s="279"/>
      <c r="M20" s="279"/>
      <c r="N20" s="279"/>
      <c r="O20" s="279"/>
      <c r="P20" s="280"/>
    </row>
    <row r="21" spans="2:16">
      <c r="B21" s="276" t="s">
        <v>80</v>
      </c>
      <c r="C21" s="277">
        <v>50.838000000000001</v>
      </c>
      <c r="D21" s="277">
        <v>60.029000000000003</v>
      </c>
      <c r="E21" s="277">
        <v>69.692999999999998</v>
      </c>
      <c r="F21" s="277">
        <v>74.194999999999993</v>
      </c>
      <c r="G21" s="277">
        <v>84.95</v>
      </c>
      <c r="H21" s="277"/>
      <c r="I21" s="277">
        <v>70.781999999999996</v>
      </c>
      <c r="J21" s="277">
        <v>74.555000000000007</v>
      </c>
      <c r="K21" s="277">
        <v>74.194999999999993</v>
      </c>
      <c r="L21" s="277">
        <v>77.552000000000007</v>
      </c>
      <c r="M21" s="277">
        <v>78.311000000000007</v>
      </c>
      <c r="N21" s="277">
        <v>82.581999999999994</v>
      </c>
      <c r="O21" s="277">
        <v>84.95</v>
      </c>
      <c r="P21" s="278">
        <v>93.869</v>
      </c>
    </row>
    <row r="22" spans="2:16">
      <c r="B22" s="276" t="s">
        <v>384</v>
      </c>
      <c r="C22" s="277">
        <v>691.00699999999995</v>
      </c>
      <c r="D22" s="277">
        <v>908.476</v>
      </c>
      <c r="E22" s="277">
        <v>717.47299999999996</v>
      </c>
      <c r="F22" s="277">
        <v>613.63499999999999</v>
      </c>
      <c r="G22" s="277">
        <v>584.94899999999996</v>
      </c>
      <c r="H22" s="277"/>
      <c r="I22" s="277">
        <v>712.37599999999998</v>
      </c>
      <c r="J22" s="277">
        <v>769.42</v>
      </c>
      <c r="K22" s="277">
        <v>613.63499999999999</v>
      </c>
      <c r="L22" s="277">
        <v>588.38</v>
      </c>
      <c r="M22" s="277">
        <v>735.19</v>
      </c>
      <c r="N22" s="277">
        <v>805.351</v>
      </c>
      <c r="O22" s="277">
        <v>584.94899999999996</v>
      </c>
      <c r="P22" s="278">
        <v>490.19200000000001</v>
      </c>
    </row>
    <row r="23" spans="2:16">
      <c r="B23" s="276" t="s">
        <v>504</v>
      </c>
      <c r="C23" s="277">
        <v>0</v>
      </c>
      <c r="D23" s="277">
        <v>0</v>
      </c>
      <c r="E23" s="277">
        <v>0</v>
      </c>
      <c r="F23" s="277">
        <v>0</v>
      </c>
      <c r="G23" s="277">
        <v>0</v>
      </c>
      <c r="H23" s="277"/>
      <c r="I23" s="277">
        <v>0</v>
      </c>
      <c r="J23" s="277">
        <v>0</v>
      </c>
      <c r="K23" s="277">
        <v>0</v>
      </c>
      <c r="L23" s="277">
        <v>0</v>
      </c>
      <c r="M23" s="277">
        <v>0</v>
      </c>
      <c r="N23" s="277">
        <v>1190</v>
      </c>
      <c r="O23" s="277">
        <v>0</v>
      </c>
      <c r="P23" s="278">
        <v>0</v>
      </c>
    </row>
    <row r="24" spans="2:16">
      <c r="B24" s="276" t="s">
        <v>60</v>
      </c>
      <c r="C24" s="277">
        <v>323.58800000000002</v>
      </c>
      <c r="D24" s="277">
        <v>324.279</v>
      </c>
      <c r="E24" s="277">
        <v>333.15699999999998</v>
      </c>
      <c r="F24" s="277">
        <v>338.44</v>
      </c>
      <c r="G24" s="277">
        <v>339.649</v>
      </c>
      <c r="H24" s="277"/>
      <c r="I24" s="277">
        <v>335.88</v>
      </c>
      <c r="J24" s="277">
        <v>338.464</v>
      </c>
      <c r="K24" s="277">
        <v>338.44</v>
      </c>
      <c r="L24" s="277">
        <v>341.44</v>
      </c>
      <c r="M24" s="277">
        <v>325.51400000000001</v>
      </c>
      <c r="N24" s="277">
        <v>339.64800000000002</v>
      </c>
      <c r="O24" s="277">
        <v>339.649</v>
      </c>
      <c r="P24" s="278">
        <v>342.762</v>
      </c>
    </row>
    <row r="25" spans="2:16">
      <c r="B25" s="276" t="s">
        <v>385</v>
      </c>
      <c r="C25" s="277">
        <v>1197.2729999999999</v>
      </c>
      <c r="D25" s="277">
        <v>1773.3009999999999</v>
      </c>
      <c r="E25" s="277">
        <v>1509.8040000000001</v>
      </c>
      <c r="F25" s="277">
        <v>1022.776</v>
      </c>
      <c r="G25" s="277">
        <v>654.99</v>
      </c>
      <c r="H25" s="277"/>
      <c r="I25" s="277">
        <v>577.78300000000002</v>
      </c>
      <c r="J25" s="277">
        <v>747.83100000000002</v>
      </c>
      <c r="K25" s="277">
        <v>1022.776</v>
      </c>
      <c r="L25" s="277">
        <v>1168.32</v>
      </c>
      <c r="M25" s="277">
        <v>880.71199999999999</v>
      </c>
      <c r="N25" s="277">
        <v>665.64099999999996</v>
      </c>
      <c r="O25" s="277">
        <v>654.99</v>
      </c>
      <c r="P25" s="278">
        <v>756.48</v>
      </c>
    </row>
    <row r="26" spans="2:16">
      <c r="B26" s="276" t="s">
        <v>386</v>
      </c>
      <c r="C26" s="277">
        <v>0</v>
      </c>
      <c r="D26" s="277">
        <v>0</v>
      </c>
      <c r="E26" s="277">
        <v>0</v>
      </c>
      <c r="F26" s="277">
        <v>0</v>
      </c>
      <c r="G26" s="277">
        <v>0</v>
      </c>
      <c r="H26" s="277"/>
      <c r="I26" s="277">
        <v>0</v>
      </c>
      <c r="J26" s="277">
        <v>0</v>
      </c>
      <c r="K26" s="277">
        <v>0</v>
      </c>
      <c r="L26" s="277">
        <v>0</v>
      </c>
      <c r="M26" s="277">
        <v>0</v>
      </c>
      <c r="N26" s="277">
        <v>0</v>
      </c>
      <c r="O26" s="277">
        <v>0</v>
      </c>
      <c r="P26" s="278">
        <v>0</v>
      </c>
    </row>
    <row r="27" spans="2:16" ht="14.5" thickBot="1">
      <c r="B27" s="276"/>
      <c r="C27" s="476">
        <f>SUM(C21:C26)</f>
        <v>2262.7060000000001</v>
      </c>
      <c r="D27" s="476">
        <f t="shared" ref="D27:G27" si="3">SUM(D21:D26)</f>
        <v>3066.085</v>
      </c>
      <c r="E27" s="476">
        <f t="shared" si="3"/>
        <v>2630.127</v>
      </c>
      <c r="F27" s="476">
        <f t="shared" si="3"/>
        <v>2049.0459999999998</v>
      </c>
      <c r="G27" s="476">
        <f t="shared" si="3"/>
        <v>1664.538</v>
      </c>
      <c r="H27" s="477"/>
      <c r="I27" s="476">
        <f t="shared" ref="I27:N27" si="4">SUM(I21:I26)</f>
        <v>1696.8209999999999</v>
      </c>
      <c r="J27" s="476">
        <f t="shared" si="4"/>
        <v>1930.27</v>
      </c>
      <c r="K27" s="476">
        <f t="shared" si="4"/>
        <v>2049.0459999999998</v>
      </c>
      <c r="L27" s="476">
        <f t="shared" si="4"/>
        <v>2175.692</v>
      </c>
      <c r="M27" s="476">
        <f t="shared" si="4"/>
        <v>2019.7270000000001</v>
      </c>
      <c r="N27" s="476">
        <f t="shared" si="4"/>
        <v>3083.2220000000002</v>
      </c>
      <c r="O27" s="476">
        <f t="shared" ref="O27:P27" si="5">SUM(O21:O26)</f>
        <v>1664.538</v>
      </c>
      <c r="P27" s="478">
        <f t="shared" si="5"/>
        <v>1683.3030000000001</v>
      </c>
    </row>
    <row r="28" spans="2:16" ht="14.5" thickBot="1">
      <c r="B28" s="293" t="s">
        <v>387</v>
      </c>
      <c r="C28" s="479">
        <f>C27+C19</f>
        <v>14833.327000000001</v>
      </c>
      <c r="D28" s="479">
        <f t="shared" ref="D28:G28" si="6">D27+D19</f>
        <v>15450.917000000001</v>
      </c>
      <c r="E28" s="479">
        <f t="shared" si="6"/>
        <v>14840.122999999998</v>
      </c>
      <c r="F28" s="479">
        <f t="shared" si="6"/>
        <v>14115.965</v>
      </c>
      <c r="G28" s="479">
        <f t="shared" si="6"/>
        <v>14581.188000000002</v>
      </c>
      <c r="H28" s="476"/>
      <c r="I28" s="479">
        <f t="shared" ref="I28:N28" si="7">I27+I19</f>
        <v>13859.530999999999</v>
      </c>
      <c r="J28" s="479">
        <f t="shared" si="7"/>
        <v>14033.896000000001</v>
      </c>
      <c r="K28" s="479">
        <f t="shared" si="7"/>
        <v>14115.965</v>
      </c>
      <c r="L28" s="479">
        <f t="shared" si="7"/>
        <v>14167.848000000002</v>
      </c>
      <c r="M28" s="479">
        <f t="shared" si="7"/>
        <v>13999.335000000001</v>
      </c>
      <c r="N28" s="479">
        <f t="shared" si="7"/>
        <v>15005.01</v>
      </c>
      <c r="O28" s="479">
        <f t="shared" ref="O28:P28" si="8">O27+O19</f>
        <v>14581.188000000002</v>
      </c>
      <c r="P28" s="480">
        <f t="shared" si="8"/>
        <v>14535.841</v>
      </c>
    </row>
    <row r="29" spans="2:16">
      <c r="B29" s="295"/>
      <c r="C29" s="279"/>
      <c r="D29" s="279"/>
      <c r="E29" s="279"/>
      <c r="F29" s="279"/>
      <c r="G29" s="279"/>
      <c r="H29" s="279"/>
      <c r="I29" s="279"/>
      <c r="J29" s="279"/>
      <c r="K29" s="279"/>
      <c r="L29" s="279"/>
      <c r="M29" s="279"/>
      <c r="N29" s="279"/>
      <c r="O29" s="279"/>
      <c r="P29" s="280"/>
    </row>
    <row r="30" spans="2:16">
      <c r="B30" s="272" t="s">
        <v>388</v>
      </c>
      <c r="C30" s="262"/>
      <c r="D30" s="262"/>
      <c r="E30" s="262"/>
      <c r="F30" s="262"/>
      <c r="G30" s="262"/>
      <c r="H30" s="262"/>
      <c r="I30" s="262"/>
      <c r="J30" s="262"/>
      <c r="K30" s="262"/>
      <c r="L30" s="262"/>
      <c r="M30" s="262"/>
      <c r="N30" s="262"/>
      <c r="O30" s="262"/>
      <c r="P30" s="285"/>
    </row>
    <row r="31" spans="2:16">
      <c r="B31" s="272" t="s">
        <v>389</v>
      </c>
      <c r="C31" s="262"/>
      <c r="D31" s="262"/>
      <c r="E31" s="262"/>
      <c r="F31" s="262"/>
      <c r="G31" s="262"/>
      <c r="H31" s="262"/>
      <c r="I31" s="262"/>
      <c r="J31" s="262"/>
      <c r="K31" s="262"/>
      <c r="L31" s="262"/>
      <c r="M31" s="262"/>
      <c r="N31" s="262"/>
      <c r="O31" s="262"/>
      <c r="P31" s="285"/>
    </row>
    <row r="32" spans="2:16">
      <c r="B32" s="276" t="s">
        <v>390</v>
      </c>
      <c r="C32" s="277">
        <v>2775.8739999999998</v>
      </c>
      <c r="D32" s="277">
        <v>2845.261</v>
      </c>
      <c r="E32" s="277">
        <v>2845.261</v>
      </c>
      <c r="F32" s="277">
        <v>2845.2710000000002</v>
      </c>
      <c r="G32" s="277">
        <v>2845.2710000000002</v>
      </c>
      <c r="H32" s="277"/>
      <c r="I32" s="277">
        <v>2845.261</v>
      </c>
      <c r="J32" s="277">
        <v>2845.2710000000002</v>
      </c>
      <c r="K32" s="277">
        <v>2845.2710000000002</v>
      </c>
      <c r="L32" s="277">
        <v>2845.2710000000002</v>
      </c>
      <c r="M32" s="277">
        <v>2845.2710000000002</v>
      </c>
      <c r="N32" s="277">
        <v>2845.2710000000002</v>
      </c>
      <c r="O32" s="277">
        <v>2845.2710000000002</v>
      </c>
      <c r="P32" s="278">
        <v>2845.2710000000002</v>
      </c>
    </row>
    <row r="33" spans="2:16">
      <c r="B33" s="276" t="s">
        <v>391</v>
      </c>
      <c r="C33" s="277">
        <v>-3.2149999999999999</v>
      </c>
      <c r="D33" s="277">
        <v>-3.2959999999999998</v>
      </c>
      <c r="E33" s="277">
        <v>-3.2959999999999998</v>
      </c>
      <c r="F33" s="277">
        <v>-3.3140000000000001</v>
      </c>
      <c r="G33" s="277">
        <v>-6.3520000000000003</v>
      </c>
      <c r="H33" s="277"/>
      <c r="I33" s="277">
        <v>-3.2959999999999998</v>
      </c>
      <c r="J33" s="277">
        <v>-3.3140000000000001</v>
      </c>
      <c r="K33" s="277">
        <v>-3.3140000000000001</v>
      </c>
      <c r="L33" s="277">
        <v>-3.3140000000000001</v>
      </c>
      <c r="M33" s="277">
        <v>-3.3140000000000001</v>
      </c>
      <c r="N33" s="277">
        <v>-3.3140000000000001</v>
      </c>
      <c r="O33" s="277">
        <v>-6.3520000000000003</v>
      </c>
      <c r="P33" s="278">
        <v>-6.4480000000000004</v>
      </c>
    </row>
    <row r="34" spans="2:16">
      <c r="B34" s="276" t="s">
        <v>392</v>
      </c>
      <c r="C34" s="277">
        <v>2460.1469999999999</v>
      </c>
      <c r="D34" s="277">
        <v>2757.2570000000001</v>
      </c>
      <c r="E34" s="277">
        <v>2762.076</v>
      </c>
      <c r="F34" s="277">
        <v>2831.0120000000002</v>
      </c>
      <c r="G34" s="277">
        <v>2609.5529999999999</v>
      </c>
      <c r="H34" s="277"/>
      <c r="I34" s="277">
        <v>2590.0839999999998</v>
      </c>
      <c r="J34" s="277">
        <v>2746.239</v>
      </c>
      <c r="K34" s="277">
        <v>2831.0120000000002</v>
      </c>
      <c r="L34" s="277">
        <v>2505.8629999999998</v>
      </c>
      <c r="M34" s="277">
        <v>2666.1469999999999</v>
      </c>
      <c r="N34" s="277">
        <v>2625.5920000000001</v>
      </c>
      <c r="O34" s="277">
        <v>2609.5529999999999</v>
      </c>
      <c r="P34" s="278">
        <v>2505.6709999999998</v>
      </c>
    </row>
    <row r="35" spans="2:16">
      <c r="B35" s="276" t="s">
        <v>492</v>
      </c>
      <c r="C35" s="277">
        <v>513.33900000000006</v>
      </c>
      <c r="D35" s="277">
        <v>875.58799999999997</v>
      </c>
      <c r="E35" s="277">
        <v>713.48599999999999</v>
      </c>
      <c r="F35" s="277">
        <v>670.58799999999997</v>
      </c>
      <c r="G35" s="277">
        <v>630.47299999999996</v>
      </c>
      <c r="H35" s="277"/>
      <c r="I35" s="277">
        <v>679.41200000000003</v>
      </c>
      <c r="J35" s="277">
        <v>634.86599999999999</v>
      </c>
      <c r="K35" s="277">
        <v>670.58799999999997</v>
      </c>
      <c r="L35" s="277">
        <v>642.33699999999999</v>
      </c>
      <c r="M35" s="277">
        <v>643.16700000000003</v>
      </c>
      <c r="N35" s="277">
        <v>630.73699999999997</v>
      </c>
      <c r="O35" s="277">
        <v>630.47299999999996</v>
      </c>
      <c r="P35" s="278">
        <v>656.95</v>
      </c>
    </row>
    <row r="36" spans="2:16">
      <c r="B36" s="276" t="s">
        <v>393</v>
      </c>
      <c r="C36" s="277">
        <v>0</v>
      </c>
      <c r="D36" s="277">
        <v>0</v>
      </c>
      <c r="E36" s="277">
        <v>0</v>
      </c>
      <c r="F36" s="277">
        <v>0</v>
      </c>
      <c r="G36" s="277">
        <v>0</v>
      </c>
      <c r="H36" s="277"/>
      <c r="I36" s="277">
        <v>0</v>
      </c>
      <c r="J36" s="277">
        <v>0</v>
      </c>
      <c r="K36" s="277">
        <v>0</v>
      </c>
      <c r="L36" s="277">
        <v>0</v>
      </c>
      <c r="M36" s="277">
        <v>0</v>
      </c>
      <c r="N36" s="277">
        <v>0</v>
      </c>
      <c r="O36" s="277">
        <v>0</v>
      </c>
      <c r="P36" s="278">
        <v>0</v>
      </c>
    </row>
    <row r="37" spans="2:16">
      <c r="B37" s="295" t="s">
        <v>394</v>
      </c>
      <c r="C37" s="476">
        <f>SUM(C32:C36)</f>
        <v>5746.1449999999995</v>
      </c>
      <c r="D37" s="476">
        <f t="shared" ref="D37:G37" si="9">SUM(D32:D36)</f>
        <v>6474.8099999999995</v>
      </c>
      <c r="E37" s="476">
        <f t="shared" si="9"/>
        <v>6317.527</v>
      </c>
      <c r="F37" s="476">
        <f t="shared" si="9"/>
        <v>6343.5570000000007</v>
      </c>
      <c r="G37" s="476">
        <f t="shared" si="9"/>
        <v>6078.9449999999997</v>
      </c>
      <c r="H37" s="477"/>
      <c r="I37" s="476">
        <f t="shared" ref="I37:O37" si="10">SUM(I32:I36)</f>
        <v>6111.4610000000002</v>
      </c>
      <c r="J37" s="476">
        <f t="shared" si="10"/>
        <v>6223.0619999999999</v>
      </c>
      <c r="K37" s="476">
        <f t="shared" si="10"/>
        <v>6343.5570000000007</v>
      </c>
      <c r="L37" s="476">
        <f t="shared" si="10"/>
        <v>5990.1569999999992</v>
      </c>
      <c r="M37" s="476">
        <f t="shared" si="10"/>
        <v>6151.2710000000006</v>
      </c>
      <c r="N37" s="476">
        <f t="shared" si="10"/>
        <v>6098.286000000001</v>
      </c>
      <c r="O37" s="476">
        <f t="shared" si="10"/>
        <v>6078.9449999999997</v>
      </c>
      <c r="P37" s="478">
        <f t="shared" ref="P37" si="11">SUM(P32:P36)</f>
        <v>6001.4440000000004</v>
      </c>
    </row>
    <row r="38" spans="2:16">
      <c r="B38" s="276" t="s">
        <v>326</v>
      </c>
      <c r="C38" s="277">
        <v>700.25099999999998</v>
      </c>
      <c r="D38" s="277">
        <v>679.26499999999999</v>
      </c>
      <c r="E38" s="277">
        <v>625.71500000000003</v>
      </c>
      <c r="F38" s="277">
        <v>618.31299999999999</v>
      </c>
      <c r="G38" s="277">
        <v>593.303</v>
      </c>
      <c r="H38" s="277"/>
      <c r="I38" s="277">
        <v>621.21799999999996</v>
      </c>
      <c r="J38" s="277">
        <v>610.58699999999999</v>
      </c>
      <c r="K38" s="277">
        <v>618.31299999999999</v>
      </c>
      <c r="L38" s="277">
        <v>600.39099999999996</v>
      </c>
      <c r="M38" s="277">
        <v>608.28899999999999</v>
      </c>
      <c r="N38" s="277">
        <v>597.57399999999996</v>
      </c>
      <c r="O38" s="277">
        <v>593.303</v>
      </c>
      <c r="P38" s="278">
        <v>579.68799999999999</v>
      </c>
    </row>
    <row r="39" spans="2:16">
      <c r="B39" s="295" t="s">
        <v>395</v>
      </c>
      <c r="C39" s="476">
        <f>SUM(C37:C38)</f>
        <v>6446.3959999999997</v>
      </c>
      <c r="D39" s="476">
        <f t="shared" ref="D39:G39" si="12">SUM(D37:D38)</f>
        <v>7154.0749999999998</v>
      </c>
      <c r="E39" s="476">
        <f t="shared" si="12"/>
        <v>6943.2420000000002</v>
      </c>
      <c r="F39" s="476">
        <f t="shared" si="12"/>
        <v>6961.8700000000008</v>
      </c>
      <c r="G39" s="476">
        <f t="shared" si="12"/>
        <v>6672.2479999999996</v>
      </c>
      <c r="H39" s="477"/>
      <c r="I39" s="476">
        <f t="shared" ref="I39:O39" si="13">SUM(I37:I38)</f>
        <v>6732.6790000000001</v>
      </c>
      <c r="J39" s="476">
        <f t="shared" si="13"/>
        <v>6833.6489999999994</v>
      </c>
      <c r="K39" s="476">
        <f t="shared" si="13"/>
        <v>6961.8700000000008</v>
      </c>
      <c r="L39" s="476">
        <f t="shared" si="13"/>
        <v>6590.5479999999989</v>
      </c>
      <c r="M39" s="476">
        <f t="shared" si="13"/>
        <v>6759.56</v>
      </c>
      <c r="N39" s="476">
        <f t="shared" si="13"/>
        <v>6695.8600000000006</v>
      </c>
      <c r="O39" s="476">
        <f t="shared" si="13"/>
        <v>6672.2479999999996</v>
      </c>
      <c r="P39" s="478">
        <f t="shared" ref="P39" si="14">SUM(P37:P38)</f>
        <v>6581.1320000000005</v>
      </c>
    </row>
    <row r="40" spans="2:16">
      <c r="B40" s="295" t="s">
        <v>396</v>
      </c>
      <c r="C40" s="279"/>
      <c r="D40" s="279"/>
      <c r="E40" s="279"/>
      <c r="F40" s="279"/>
      <c r="G40" s="279"/>
      <c r="H40" s="277"/>
      <c r="I40" s="279"/>
      <c r="J40" s="279"/>
      <c r="K40" s="279"/>
      <c r="L40" s="279"/>
      <c r="M40" s="279"/>
      <c r="N40" s="279"/>
      <c r="O40" s="279"/>
      <c r="P40" s="280"/>
    </row>
    <row r="41" spans="2:16">
      <c r="B41" s="276" t="s">
        <v>397</v>
      </c>
      <c r="C41" s="277">
        <v>215.059</v>
      </c>
      <c r="D41" s="277">
        <v>218.559</v>
      </c>
      <c r="E41" s="277">
        <v>268.666</v>
      </c>
      <c r="F41" s="277">
        <v>352.35300000000001</v>
      </c>
      <c r="G41" s="277">
        <v>354.08100000000002</v>
      </c>
      <c r="H41" s="277"/>
      <c r="I41" s="277">
        <v>277.46800000000002</v>
      </c>
      <c r="J41" s="277">
        <v>305.55500000000001</v>
      </c>
      <c r="K41" s="277">
        <v>352.35300000000001</v>
      </c>
      <c r="L41" s="277">
        <v>331.142</v>
      </c>
      <c r="M41" s="277">
        <v>312.82100000000003</v>
      </c>
      <c r="N41" s="277">
        <v>339.17</v>
      </c>
      <c r="O41" s="277">
        <v>354.08100000000002</v>
      </c>
      <c r="P41" s="278">
        <v>349.733</v>
      </c>
    </row>
    <row r="42" spans="2:16">
      <c r="B42" s="276" t="s">
        <v>398</v>
      </c>
      <c r="C42" s="277">
        <v>2495.0340000000001</v>
      </c>
      <c r="D42" s="277">
        <v>2468.855</v>
      </c>
      <c r="E42" s="277">
        <v>1976.915</v>
      </c>
      <c r="F42" s="277">
        <v>133.38</v>
      </c>
      <c r="G42" s="277">
        <v>128.09800000000001</v>
      </c>
      <c r="H42" s="277"/>
      <c r="I42" s="277">
        <v>134.26400000000001</v>
      </c>
      <c r="J42" s="277">
        <v>135.43100000000001</v>
      </c>
      <c r="K42" s="277">
        <v>133.38</v>
      </c>
      <c r="L42" s="277">
        <v>130.88300000000001</v>
      </c>
      <c r="M42" s="277">
        <v>129.86000000000001</v>
      </c>
      <c r="N42" s="277">
        <v>129.16800000000001</v>
      </c>
      <c r="O42" s="277">
        <v>128.09800000000001</v>
      </c>
      <c r="P42" s="278">
        <v>123.014</v>
      </c>
    </row>
    <row r="43" spans="2:16">
      <c r="B43" s="276" t="s">
        <v>165</v>
      </c>
      <c r="C43" s="277">
        <v>932.99400000000003</v>
      </c>
      <c r="D43" s="277">
        <v>929.31799999999998</v>
      </c>
      <c r="E43" s="277">
        <v>638.13499999999999</v>
      </c>
      <c r="F43" s="277">
        <v>0</v>
      </c>
      <c r="G43" s="277">
        <v>1607.4359999999999</v>
      </c>
      <c r="H43" s="277"/>
      <c r="I43" s="277">
        <v>0</v>
      </c>
      <c r="J43" s="277">
        <v>0</v>
      </c>
      <c r="K43" s="277">
        <v>0</v>
      </c>
      <c r="L43" s="277">
        <v>0</v>
      </c>
      <c r="M43" s="277">
        <v>0</v>
      </c>
      <c r="N43" s="277">
        <v>0</v>
      </c>
      <c r="O43" s="277">
        <v>1607.4359999999999</v>
      </c>
      <c r="P43" s="278">
        <v>1563.0360000000001</v>
      </c>
    </row>
    <row r="44" spans="2:16">
      <c r="B44" s="276" t="s">
        <v>399</v>
      </c>
      <c r="C44" s="277">
        <v>1831.1859999999999</v>
      </c>
      <c r="D44" s="277">
        <v>1832.453</v>
      </c>
      <c r="E44" s="277">
        <v>1712.598</v>
      </c>
      <c r="F44" s="277">
        <v>0</v>
      </c>
      <c r="G44" s="277">
        <v>2561.319</v>
      </c>
      <c r="H44" s="277"/>
      <c r="I44" s="277">
        <v>954.23299999999995</v>
      </c>
      <c r="J44" s="277">
        <v>954.58900000000006</v>
      </c>
      <c r="K44" s="277">
        <v>0</v>
      </c>
      <c r="L44" s="277">
        <v>2559.6610000000001</v>
      </c>
      <c r="M44" s="277">
        <v>2559.8420000000001</v>
      </c>
      <c r="N44" s="277">
        <v>2560.7359999999999</v>
      </c>
      <c r="O44" s="277">
        <v>2561.319</v>
      </c>
      <c r="P44" s="278">
        <v>2561.902</v>
      </c>
    </row>
    <row r="45" spans="2:16">
      <c r="B45" s="276" t="s">
        <v>400</v>
      </c>
      <c r="C45" s="277">
        <v>1811.894</v>
      </c>
      <c r="D45" s="277">
        <v>1815.8420000000001</v>
      </c>
      <c r="E45" s="277">
        <v>1819.8969999999999</v>
      </c>
      <c r="F45" s="277">
        <v>1824.0820000000001</v>
      </c>
      <c r="G45" s="277">
        <v>1828.3630000000001</v>
      </c>
      <c r="H45" s="277"/>
      <c r="I45" s="277">
        <v>1821.9849999999999</v>
      </c>
      <c r="J45" s="277">
        <v>1823.0319999999999</v>
      </c>
      <c r="K45" s="277">
        <v>1824.0820000000001</v>
      </c>
      <c r="L45" s="277">
        <v>1825.143</v>
      </c>
      <c r="M45" s="277">
        <v>1826.2080000000001</v>
      </c>
      <c r="N45" s="277">
        <v>1827.2829999999999</v>
      </c>
      <c r="O45" s="277">
        <v>1828.3630000000001</v>
      </c>
      <c r="P45" s="278">
        <v>1829.452</v>
      </c>
    </row>
    <row r="46" spans="2:16">
      <c r="B46" s="276" t="s">
        <v>401</v>
      </c>
      <c r="C46" s="277">
        <v>200.57900000000001</v>
      </c>
      <c r="D46" s="277">
        <v>170.48699999999999</v>
      </c>
      <c r="E46" s="277">
        <v>176.999</v>
      </c>
      <c r="F46" s="277">
        <v>139.94399999999999</v>
      </c>
      <c r="G46" s="277">
        <v>126.438</v>
      </c>
      <c r="H46" s="277"/>
      <c r="I46" s="277">
        <v>156.63399999999999</v>
      </c>
      <c r="J46" s="277">
        <v>146.02199999999999</v>
      </c>
      <c r="K46" s="277">
        <v>139.94399999999999</v>
      </c>
      <c r="L46" s="277">
        <v>130.91200000000001</v>
      </c>
      <c r="M46" s="277">
        <v>153.32300000000001</v>
      </c>
      <c r="N46" s="277">
        <v>144.96700000000001</v>
      </c>
      <c r="O46" s="277">
        <v>126.438</v>
      </c>
      <c r="P46" s="278">
        <v>114.38800000000001</v>
      </c>
    </row>
    <row r="47" spans="2:16">
      <c r="B47" s="276" t="s">
        <v>402</v>
      </c>
      <c r="C47" s="277">
        <v>41.290999999999997</v>
      </c>
      <c r="D47" s="277">
        <v>42.706000000000003</v>
      </c>
      <c r="E47" s="277">
        <v>45.258000000000003</v>
      </c>
      <c r="F47" s="277">
        <v>50.179000000000002</v>
      </c>
      <c r="G47" s="277">
        <v>53.597999999999999</v>
      </c>
      <c r="H47" s="277"/>
      <c r="I47" s="277">
        <v>49.593000000000004</v>
      </c>
      <c r="J47" s="277">
        <v>52.046999999999997</v>
      </c>
      <c r="K47" s="277">
        <v>50.179000000000002</v>
      </c>
      <c r="L47" s="277">
        <v>51.055</v>
      </c>
      <c r="M47" s="277">
        <v>52.277000000000001</v>
      </c>
      <c r="N47" s="277">
        <v>53.067</v>
      </c>
      <c r="O47" s="277">
        <v>53.597999999999999</v>
      </c>
      <c r="P47" s="278">
        <v>52.247999999999998</v>
      </c>
    </row>
    <row r="48" spans="2:16">
      <c r="B48" s="276" t="s">
        <v>403</v>
      </c>
      <c r="C48" s="277">
        <v>0</v>
      </c>
      <c r="D48" s="277">
        <v>0</v>
      </c>
      <c r="E48" s="277">
        <v>358.79500000000002</v>
      </c>
      <c r="F48" s="277">
        <v>360.94099999999997</v>
      </c>
      <c r="G48" s="277">
        <v>351.18</v>
      </c>
      <c r="H48" s="277"/>
      <c r="I48" s="277">
        <v>354.34500000000003</v>
      </c>
      <c r="J48" s="277">
        <v>348.92899999999997</v>
      </c>
      <c r="K48" s="277">
        <v>360.94099999999997</v>
      </c>
      <c r="L48" s="277">
        <v>357.21699999999998</v>
      </c>
      <c r="M48" s="277">
        <v>353.41699999999997</v>
      </c>
      <c r="N48" s="277">
        <v>352.95299999999997</v>
      </c>
      <c r="O48" s="277">
        <v>351.18</v>
      </c>
      <c r="P48" s="278">
        <v>348.67399999999998</v>
      </c>
    </row>
    <row r="49" spans="2:16">
      <c r="B49" s="276"/>
      <c r="C49" s="476">
        <f>SUM(C41:C48)</f>
        <v>7528.0370000000003</v>
      </c>
      <c r="D49" s="476">
        <f t="shared" ref="D49:G49" si="15">SUM(D41:D48)</f>
        <v>7478.22</v>
      </c>
      <c r="E49" s="476">
        <f t="shared" si="15"/>
        <v>6997.2629999999999</v>
      </c>
      <c r="F49" s="476">
        <f t="shared" si="15"/>
        <v>2860.8789999999999</v>
      </c>
      <c r="G49" s="476">
        <f t="shared" si="15"/>
        <v>7010.5129999999999</v>
      </c>
      <c r="H49" s="477"/>
      <c r="I49" s="476">
        <f t="shared" ref="I49:O49" si="16">SUM(I41:I48)</f>
        <v>3748.5219999999999</v>
      </c>
      <c r="J49" s="476">
        <f t="shared" si="16"/>
        <v>3765.605</v>
      </c>
      <c r="K49" s="476">
        <f t="shared" si="16"/>
        <v>2860.8789999999999</v>
      </c>
      <c r="L49" s="476">
        <f t="shared" si="16"/>
        <v>5386.0129999999999</v>
      </c>
      <c r="M49" s="476">
        <f t="shared" si="16"/>
        <v>5387.7480000000005</v>
      </c>
      <c r="N49" s="476">
        <f t="shared" si="16"/>
        <v>5407.3439999999991</v>
      </c>
      <c r="O49" s="476">
        <f t="shared" si="16"/>
        <v>7010.5129999999999</v>
      </c>
      <c r="P49" s="478">
        <f t="shared" ref="P49" si="17">SUM(P41:P48)</f>
        <v>6942.4470000000001</v>
      </c>
    </row>
    <row r="50" spans="2:16">
      <c r="B50" s="295" t="s">
        <v>404</v>
      </c>
      <c r="C50" s="279"/>
      <c r="D50" s="279"/>
      <c r="E50" s="279"/>
      <c r="F50" s="279"/>
      <c r="G50" s="279"/>
      <c r="H50" s="277"/>
      <c r="I50" s="279"/>
      <c r="J50" s="279"/>
      <c r="K50" s="279"/>
      <c r="L50" s="279"/>
      <c r="M50" s="279"/>
      <c r="N50" s="279"/>
      <c r="O50" s="279"/>
      <c r="P50" s="280"/>
    </row>
    <row r="51" spans="2:16">
      <c r="B51" s="276" t="s">
        <v>397</v>
      </c>
      <c r="C51" s="277">
        <v>768.77700000000004</v>
      </c>
      <c r="D51" s="277">
        <v>726.601</v>
      </c>
      <c r="E51" s="277">
        <v>785.53099999999995</v>
      </c>
      <c r="F51" s="277">
        <v>742.94</v>
      </c>
      <c r="G51" s="277">
        <v>649.45699999999999</v>
      </c>
      <c r="H51" s="277"/>
      <c r="I51" s="277">
        <v>780.40700000000004</v>
      </c>
      <c r="J51" s="277">
        <v>833.45799999999997</v>
      </c>
      <c r="K51" s="277">
        <v>742.94</v>
      </c>
      <c r="L51" s="277">
        <v>1187.9459999999999</v>
      </c>
      <c r="M51" s="277">
        <v>847.17600000000004</v>
      </c>
      <c r="N51" s="277">
        <v>1016.63</v>
      </c>
      <c r="O51" s="277">
        <v>649.45699999999999</v>
      </c>
      <c r="P51" s="278">
        <v>758.96799999999996</v>
      </c>
    </row>
    <row r="52" spans="2:16">
      <c r="B52" s="276" t="s">
        <v>398</v>
      </c>
      <c r="C52" s="277">
        <v>35.014000000000003</v>
      </c>
      <c r="D52" s="277">
        <v>37.625999999999998</v>
      </c>
      <c r="E52" s="277">
        <v>61.036999999999999</v>
      </c>
      <c r="F52" s="277">
        <v>1911.23</v>
      </c>
      <c r="G52" s="277">
        <v>17.178000000000001</v>
      </c>
      <c r="H52" s="277"/>
      <c r="I52" s="277">
        <v>1906.079</v>
      </c>
      <c r="J52" s="277">
        <v>1908.7070000000001</v>
      </c>
      <c r="K52" s="277">
        <v>1911.23</v>
      </c>
      <c r="L52" s="277">
        <v>16.062000000000001</v>
      </c>
      <c r="M52" s="277">
        <v>17.202000000000002</v>
      </c>
      <c r="N52" s="277">
        <v>916.726</v>
      </c>
      <c r="O52" s="277">
        <v>17.178000000000001</v>
      </c>
      <c r="P52" s="278">
        <v>18.634</v>
      </c>
    </row>
    <row r="53" spans="2:16">
      <c r="B53" s="276" t="s">
        <v>165</v>
      </c>
      <c r="C53" s="277">
        <v>8.4179999999999993</v>
      </c>
      <c r="D53" s="277">
        <v>8.0730000000000004</v>
      </c>
      <c r="E53" s="277">
        <v>0</v>
      </c>
      <c r="F53" s="277">
        <v>640.66600000000005</v>
      </c>
      <c r="G53" s="277">
        <v>180.06100000000001</v>
      </c>
      <c r="H53" s="277"/>
      <c r="I53" s="277">
        <v>639.4</v>
      </c>
      <c r="J53" s="277">
        <v>640.03300000000002</v>
      </c>
      <c r="K53" s="277">
        <v>640.66600000000005</v>
      </c>
      <c r="L53" s="277">
        <v>0</v>
      </c>
      <c r="M53" s="277">
        <v>0</v>
      </c>
      <c r="N53" s="277">
        <v>0</v>
      </c>
      <c r="O53" s="277">
        <v>180.06100000000001</v>
      </c>
      <c r="P53" s="278">
        <v>180.06100000000001</v>
      </c>
    </row>
    <row r="54" spans="2:16">
      <c r="B54" s="276" t="s">
        <v>399</v>
      </c>
      <c r="C54" s="277">
        <v>0</v>
      </c>
      <c r="D54" s="277">
        <v>0</v>
      </c>
      <c r="E54" s="277">
        <v>0</v>
      </c>
      <c r="F54" s="277">
        <v>946.46600000000001</v>
      </c>
      <c r="G54" s="277">
        <v>0</v>
      </c>
      <c r="H54" s="277"/>
      <c r="I54" s="277">
        <v>0</v>
      </c>
      <c r="J54" s="277">
        <v>0</v>
      </c>
      <c r="K54" s="277">
        <v>946.46600000000001</v>
      </c>
      <c r="L54" s="277">
        <v>935.81399999999996</v>
      </c>
      <c r="M54" s="277">
        <v>936.18399999999997</v>
      </c>
      <c r="N54" s="277">
        <v>919.92</v>
      </c>
      <c r="O54" s="277">
        <v>0</v>
      </c>
      <c r="P54" s="278">
        <v>0</v>
      </c>
    </row>
    <row r="55" spans="2:16">
      <c r="B55" s="276" t="s">
        <v>401</v>
      </c>
      <c r="C55" s="277">
        <v>46.685000000000002</v>
      </c>
      <c r="D55" s="277">
        <v>46.322000000000003</v>
      </c>
      <c r="E55" s="277">
        <v>53.05</v>
      </c>
      <c r="F55" s="277">
        <v>51.914000000000001</v>
      </c>
      <c r="G55" s="277">
        <v>51.731000000000002</v>
      </c>
      <c r="H55" s="277"/>
      <c r="I55" s="277">
        <v>52.444000000000003</v>
      </c>
      <c r="J55" s="277">
        <v>52.444000000000003</v>
      </c>
      <c r="K55" s="277">
        <v>51.914000000000001</v>
      </c>
      <c r="L55" s="277">
        <v>51.465000000000003</v>
      </c>
      <c r="M55" s="277">
        <v>51.465000000000003</v>
      </c>
      <c r="N55" s="277">
        <v>48.53</v>
      </c>
      <c r="O55" s="277">
        <v>51.731000000000002</v>
      </c>
      <c r="P55" s="278">
        <v>54.598999999999997</v>
      </c>
    </row>
    <row r="56" spans="2:16" ht="14.5" thickBot="1">
      <c r="B56" s="276"/>
      <c r="C56" s="476">
        <f>SUM(C51:C55)</f>
        <v>858.89400000000001</v>
      </c>
      <c r="D56" s="476">
        <f t="shared" ref="D56:G56" si="18">SUM(D51:D55)</f>
        <v>818.62199999999996</v>
      </c>
      <c r="E56" s="476">
        <f t="shared" si="18"/>
        <v>899.61799999999994</v>
      </c>
      <c r="F56" s="476">
        <f t="shared" si="18"/>
        <v>4293.2160000000003</v>
      </c>
      <c r="G56" s="476">
        <f t="shared" si="18"/>
        <v>898.42700000000002</v>
      </c>
      <c r="H56" s="477"/>
      <c r="I56" s="476">
        <f t="shared" ref="I56:N56" si="19">SUM(I51:I55)</f>
        <v>3378.33</v>
      </c>
      <c r="J56" s="476">
        <f t="shared" si="19"/>
        <v>3434.6419999999998</v>
      </c>
      <c r="K56" s="476">
        <f t="shared" si="19"/>
        <v>4293.2160000000003</v>
      </c>
      <c r="L56" s="476">
        <f t="shared" si="19"/>
        <v>2191.2869999999998</v>
      </c>
      <c r="M56" s="476">
        <f t="shared" si="19"/>
        <v>1852.0269999999998</v>
      </c>
      <c r="N56" s="476">
        <f t="shared" si="19"/>
        <v>2901.806</v>
      </c>
      <c r="O56" s="476">
        <f t="shared" ref="O56:P56" si="20">SUM(O51:O55)</f>
        <v>898.42700000000002</v>
      </c>
      <c r="P56" s="478">
        <f t="shared" si="20"/>
        <v>1012.2620000000001</v>
      </c>
    </row>
    <row r="57" spans="2:16" ht="14.5" thickBot="1">
      <c r="B57" s="293" t="s">
        <v>405</v>
      </c>
      <c r="C57" s="479">
        <f>C39+C49+C56</f>
        <v>14833.327000000001</v>
      </c>
      <c r="D57" s="479">
        <f t="shared" ref="D57:G57" si="21">D39+D49+D56</f>
        <v>15450.916999999999</v>
      </c>
      <c r="E57" s="479">
        <f t="shared" si="21"/>
        <v>14840.123000000001</v>
      </c>
      <c r="F57" s="479">
        <f t="shared" si="21"/>
        <v>14115.965</v>
      </c>
      <c r="G57" s="479">
        <f t="shared" si="21"/>
        <v>14581.187999999998</v>
      </c>
      <c r="H57" s="476"/>
      <c r="I57" s="479">
        <f t="shared" ref="I57:N57" si="22">I39+I49+I56</f>
        <v>13859.531000000001</v>
      </c>
      <c r="J57" s="479">
        <f t="shared" si="22"/>
        <v>14033.895999999999</v>
      </c>
      <c r="K57" s="479">
        <f t="shared" si="22"/>
        <v>14115.965</v>
      </c>
      <c r="L57" s="479">
        <f t="shared" si="22"/>
        <v>14167.847999999998</v>
      </c>
      <c r="M57" s="479">
        <f t="shared" si="22"/>
        <v>13999.335000000001</v>
      </c>
      <c r="N57" s="479">
        <f t="shared" si="22"/>
        <v>15005.01</v>
      </c>
      <c r="O57" s="479">
        <f t="shared" ref="O57:P57" si="23">O39+O49+O56</f>
        <v>14581.187999999998</v>
      </c>
      <c r="P57" s="480">
        <f t="shared" si="23"/>
        <v>14535.841000000002</v>
      </c>
    </row>
    <row r="58" spans="2:16">
      <c r="B58" s="296" t="s">
        <v>406</v>
      </c>
      <c r="C58" s="297" t="str">
        <f>IF(ROUND(C28,1)-ROUND(C57,1)=0,"-","Error")</f>
        <v>-</v>
      </c>
      <c r="D58" s="297" t="str">
        <f t="shared" ref="D58:G58" si="24">IF(ROUND(D28,1)-ROUND(D57,1)=0,"-","Error")</f>
        <v>-</v>
      </c>
      <c r="E58" s="297" t="str">
        <f t="shared" si="24"/>
        <v>-</v>
      </c>
      <c r="F58" s="297" t="str">
        <f t="shared" si="24"/>
        <v>-</v>
      </c>
      <c r="G58" s="297" t="str">
        <f t="shared" si="24"/>
        <v>-</v>
      </c>
      <c r="H58" s="298"/>
      <c r="I58" s="297" t="str">
        <f t="shared" ref="I58:O58" si="25">IF(ROUND(I28,1)-ROUND(I57,1)=0,"-","Error")</f>
        <v>-</v>
      </c>
      <c r="J58" s="297" t="str">
        <f t="shared" si="25"/>
        <v>-</v>
      </c>
      <c r="K58" s="297" t="str">
        <f t="shared" si="25"/>
        <v>-</v>
      </c>
      <c r="L58" s="297" t="str">
        <f t="shared" si="25"/>
        <v>-</v>
      </c>
      <c r="M58" s="297" t="str">
        <f t="shared" si="25"/>
        <v>-</v>
      </c>
      <c r="N58" s="297" t="str">
        <f t="shared" si="25"/>
        <v>-</v>
      </c>
      <c r="O58" s="297" t="str">
        <f t="shared" si="25"/>
        <v>-</v>
      </c>
      <c r="P58" s="299" t="str">
        <f t="shared" ref="P58" si="26">IF(ROUND(P28,1)-ROUND(P57,1)=0,"-","Error")</f>
        <v>-</v>
      </c>
    </row>
    <row r="59" spans="2:16">
      <c r="B59" s="296"/>
      <c r="C59" s="297"/>
      <c r="D59" s="297"/>
      <c r="E59" s="297"/>
      <c r="F59" s="297"/>
      <c r="G59" s="297"/>
      <c r="H59" s="298"/>
      <c r="I59" s="297"/>
      <c r="J59" s="297"/>
      <c r="K59" s="297"/>
      <c r="L59" s="297"/>
      <c r="M59" s="297"/>
      <c r="N59" s="297"/>
      <c r="O59" s="297"/>
      <c r="P59" s="299"/>
    </row>
    <row r="60" spans="2:16">
      <c r="B60" s="295" t="s">
        <v>407</v>
      </c>
      <c r="C60" s="476">
        <f>SUM(C42,C43,C44,C45,C46,C52,C53,C55)</f>
        <v>7361.8040000000001</v>
      </c>
      <c r="D60" s="476">
        <f t="shared" ref="D60:F60" si="27">SUM(D42,D43,D44,D45,D46,D52,D53,D55)</f>
        <v>7308.9760000000015</v>
      </c>
      <c r="E60" s="476">
        <f t="shared" si="27"/>
        <v>6438.6310000000003</v>
      </c>
      <c r="F60" s="476">
        <f t="shared" si="27"/>
        <v>4701.2159999999994</v>
      </c>
      <c r="G60" s="476">
        <f>SUM(G42,G43,G44,G45,G46,G52,G53,G54,G55)</f>
        <v>6500.6239999999998</v>
      </c>
      <c r="H60" s="476"/>
      <c r="I60" s="476">
        <f t="shared" ref="I60:O60" si="28">SUM(I42,I43,I44,I45,I46,I52,I53,I54,I55)</f>
        <v>5665.0389999999998</v>
      </c>
      <c r="J60" s="476">
        <f t="shared" si="28"/>
        <v>5660.2580000000007</v>
      </c>
      <c r="K60" s="476">
        <f t="shared" si="28"/>
        <v>5647.6819999999998</v>
      </c>
      <c r="L60" s="476">
        <f t="shared" si="28"/>
        <v>5649.9400000000005</v>
      </c>
      <c r="M60" s="476">
        <f t="shared" si="28"/>
        <v>5674.0840000000007</v>
      </c>
      <c r="N60" s="476">
        <f t="shared" si="28"/>
        <v>6547.329999999999</v>
      </c>
      <c r="O60" s="476">
        <f t="shared" si="28"/>
        <v>6500.6239999999998</v>
      </c>
      <c r="P60" s="478">
        <f t="shared" ref="P60" si="29">SUM(P42,P43,P44,P45,P46,P52,P53,P54,P55)</f>
        <v>6445.0860000000002</v>
      </c>
    </row>
    <row r="61" spans="2:16">
      <c r="B61" s="300" t="s">
        <v>485</v>
      </c>
      <c r="C61" s="477">
        <f>SUM(C42,C43,C44,C45,C46)</f>
        <v>7271.6869999999999</v>
      </c>
      <c r="D61" s="477">
        <f t="shared" ref="D61:G61" si="30">SUM(D42,D43,D44,D45,D46)</f>
        <v>7216.9550000000008</v>
      </c>
      <c r="E61" s="477">
        <f t="shared" si="30"/>
        <v>6324.5439999999999</v>
      </c>
      <c r="F61" s="477">
        <f t="shared" si="30"/>
        <v>2097.4059999999999</v>
      </c>
      <c r="G61" s="477">
        <f t="shared" si="30"/>
        <v>6251.6540000000005</v>
      </c>
      <c r="H61" s="481"/>
      <c r="I61" s="477">
        <f t="shared" ref="I61:N61" si="31">SUM(I42,I43,I44,I45,I46)</f>
        <v>3067.116</v>
      </c>
      <c r="J61" s="477">
        <f t="shared" si="31"/>
        <v>3059.0739999999996</v>
      </c>
      <c r="K61" s="477">
        <f t="shared" si="31"/>
        <v>2097.4059999999999</v>
      </c>
      <c r="L61" s="477">
        <f t="shared" si="31"/>
        <v>4646.5990000000002</v>
      </c>
      <c r="M61" s="477">
        <f t="shared" si="31"/>
        <v>4669.2330000000002</v>
      </c>
      <c r="N61" s="477">
        <f t="shared" si="31"/>
        <v>4662.1539999999995</v>
      </c>
      <c r="O61" s="477">
        <f t="shared" ref="O61:P61" si="32">SUM(O42,O43,O44,O45,O46)</f>
        <v>6251.6540000000005</v>
      </c>
      <c r="P61" s="482">
        <f t="shared" si="32"/>
        <v>6191.7920000000004</v>
      </c>
    </row>
    <row r="62" spans="2:16">
      <c r="B62" s="300" t="s">
        <v>408</v>
      </c>
      <c r="C62" s="477">
        <f>SUM(C52,C53,C54,C55)</f>
        <v>90.117000000000004</v>
      </c>
      <c r="D62" s="477">
        <f t="shared" ref="D62:G62" si="33">SUM(D52,D53,D54,D55)</f>
        <v>92.021000000000001</v>
      </c>
      <c r="E62" s="477">
        <f t="shared" si="33"/>
        <v>114.08699999999999</v>
      </c>
      <c r="F62" s="477">
        <f t="shared" si="33"/>
        <v>3550.2760000000003</v>
      </c>
      <c r="G62" s="477">
        <f t="shared" si="33"/>
        <v>248.97</v>
      </c>
      <c r="H62" s="481"/>
      <c r="I62" s="477">
        <f t="shared" ref="I62:O62" si="34">SUM(I52,I53,I54,I55)</f>
        <v>2597.9229999999998</v>
      </c>
      <c r="J62" s="477">
        <f t="shared" si="34"/>
        <v>2601.1840000000002</v>
      </c>
      <c r="K62" s="477">
        <f t="shared" si="34"/>
        <v>3550.2760000000003</v>
      </c>
      <c r="L62" s="477">
        <f t="shared" si="34"/>
        <v>1003.341</v>
      </c>
      <c r="M62" s="477">
        <f t="shared" si="34"/>
        <v>1004.851</v>
      </c>
      <c r="N62" s="477">
        <f t="shared" si="34"/>
        <v>1885.1759999999999</v>
      </c>
      <c r="O62" s="477">
        <f t="shared" si="34"/>
        <v>248.97</v>
      </c>
      <c r="P62" s="482">
        <f t="shared" ref="P62" si="35">SUM(P52,P53,P54,P55)</f>
        <v>253.29399999999998</v>
      </c>
    </row>
    <row r="63" spans="2:16">
      <c r="B63" s="301" t="s">
        <v>409</v>
      </c>
      <c r="C63" s="483">
        <f>C60-C25</f>
        <v>6164.5309999999999</v>
      </c>
      <c r="D63" s="483">
        <f t="shared" ref="D63:G63" si="36">D60-D25</f>
        <v>5535.6750000000011</v>
      </c>
      <c r="E63" s="483">
        <f t="shared" si="36"/>
        <v>4928.8270000000002</v>
      </c>
      <c r="F63" s="483">
        <f t="shared" si="36"/>
        <v>3678.4399999999996</v>
      </c>
      <c r="G63" s="483">
        <f t="shared" si="36"/>
        <v>5845.634</v>
      </c>
      <c r="H63" s="484"/>
      <c r="I63" s="483">
        <f t="shared" ref="I63:N63" si="37">I60-I25</f>
        <v>5087.2559999999994</v>
      </c>
      <c r="J63" s="483">
        <f t="shared" si="37"/>
        <v>4912.4270000000006</v>
      </c>
      <c r="K63" s="483">
        <f t="shared" si="37"/>
        <v>4624.9059999999999</v>
      </c>
      <c r="L63" s="483">
        <f t="shared" si="37"/>
        <v>4481.6200000000008</v>
      </c>
      <c r="M63" s="483">
        <f t="shared" si="37"/>
        <v>4793.3720000000012</v>
      </c>
      <c r="N63" s="483">
        <f t="shared" si="37"/>
        <v>5881.6889999999994</v>
      </c>
      <c r="O63" s="483">
        <f t="shared" ref="O63:P63" si="38">O60-O25</f>
        <v>5845.634</v>
      </c>
      <c r="P63" s="485">
        <f t="shared" si="38"/>
        <v>5688.6059999999998</v>
      </c>
    </row>
    <row r="64" spans="2:16">
      <c r="B64" s="343"/>
      <c r="C64" s="279"/>
      <c r="D64" s="279"/>
      <c r="E64" s="279"/>
      <c r="F64" s="279"/>
      <c r="G64" s="279"/>
      <c r="H64" s="344"/>
      <c r="I64" s="279"/>
      <c r="J64" s="279"/>
      <c r="K64" s="279"/>
      <c r="L64" s="279"/>
      <c r="M64" s="279"/>
      <c r="N64" s="279"/>
      <c r="O64" s="279"/>
      <c r="P64" s="279"/>
    </row>
    <row r="65" spans="2:16">
      <c r="B65" s="342" t="s">
        <v>495</v>
      </c>
      <c r="C65" s="279"/>
      <c r="D65" s="279"/>
      <c r="E65" s="279"/>
      <c r="F65" s="279"/>
      <c r="G65" s="279"/>
      <c r="H65" s="344"/>
      <c r="I65" s="279"/>
      <c r="J65" s="279"/>
      <c r="K65" s="279"/>
      <c r="L65" s="279"/>
      <c r="M65" s="279"/>
      <c r="N65" s="279"/>
      <c r="O65" s="279"/>
      <c r="P65" s="279"/>
    </row>
    <row r="66" spans="2:16" ht="3.5" customHeight="1">
      <c r="B66" s="260"/>
      <c r="C66" s="262"/>
      <c r="D66" s="262"/>
      <c r="E66" s="262"/>
      <c r="F66" s="262"/>
      <c r="G66" s="262"/>
      <c r="H66" s="262"/>
      <c r="I66" s="262"/>
      <c r="J66" s="262"/>
      <c r="K66" s="262"/>
      <c r="L66" s="262"/>
      <c r="M66" s="262"/>
      <c r="N66" s="262"/>
      <c r="O66" s="262"/>
      <c r="P66" s="262"/>
    </row>
    <row r="67" spans="2:16" hidden="1">
      <c r="C67" s="263"/>
      <c r="D67" s="263"/>
      <c r="E67" s="263"/>
      <c r="F67" s="263"/>
      <c r="G67" s="263"/>
      <c r="H67" s="263"/>
      <c r="I67" s="263"/>
      <c r="J67" s="263"/>
      <c r="K67" s="263"/>
      <c r="L67" s="263"/>
      <c r="M67" s="263"/>
      <c r="N67" s="263"/>
      <c r="O67" s="263"/>
      <c r="P67" s="263"/>
    </row>
  </sheetData>
  <sheetProtection algorithmName="SHA-512" hashValue="u2HbjFEe7wOwzWP4+ZTXWCh3lX0jMvmfaFrCic91rKDrq7nhbwHu+3hMFDt2Nu8CEe2LTG1y4Ejc/hEUKjBfog==" saltValue="yBc+QV+MdFFNwf7L/ArneQ=="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33C3-AA78-4E94-BEDB-E4B7642E4705}">
  <dimension ref="A1:Q70"/>
  <sheetViews>
    <sheetView showGridLines="0" zoomScale="90" zoomScaleNormal="90" workbookViewId="0"/>
  </sheetViews>
  <sheetFormatPr defaultColWidth="0" defaultRowHeight="14" zeroHeight="1"/>
  <cols>
    <col min="1" max="1" width="0.5" style="256" customWidth="1"/>
    <col min="2" max="2" width="54.69921875" style="257" customWidth="1"/>
    <col min="3" max="7" width="10.69921875" style="257" customWidth="1"/>
    <col min="8" max="8" width="4.69921875" style="257" customWidth="1"/>
    <col min="9" max="16" width="10.69921875" style="257" customWidth="1"/>
    <col min="17" max="17" width="0.5" style="257" customWidth="1"/>
    <col min="18" max="16384" width="8.796875" style="257" hidden="1"/>
  </cols>
  <sheetData>
    <row r="1" spans="1:17" ht="3.5" customHeight="1">
      <c r="C1" s="258"/>
      <c r="Q1" s="257" t="s">
        <v>374</v>
      </c>
    </row>
    <row r="2" spans="1:17" ht="17" customHeight="1">
      <c r="B2" s="160"/>
      <c r="C2" s="264"/>
      <c r="D2" s="289"/>
      <c r="E2" s="289"/>
      <c r="F2" s="289"/>
      <c r="G2" s="289"/>
      <c r="H2" s="289"/>
      <c r="I2" s="289"/>
      <c r="J2" s="289"/>
      <c r="K2" s="289"/>
      <c r="L2" s="289"/>
      <c r="M2" s="289"/>
      <c r="N2" s="289"/>
      <c r="O2" s="289"/>
      <c r="P2" s="290"/>
    </row>
    <row r="3" spans="1:17" ht="17" customHeight="1">
      <c r="B3" s="205"/>
      <c r="C3" s="258"/>
      <c r="P3" s="287"/>
    </row>
    <row r="4" spans="1:17" ht="17" customHeight="1">
      <c r="B4" s="397" t="s">
        <v>227</v>
      </c>
      <c r="C4" s="258"/>
      <c r="P4" s="287"/>
    </row>
    <row r="5" spans="1:17" ht="17" customHeight="1">
      <c r="B5" s="397" t="s">
        <v>280</v>
      </c>
      <c r="C5" s="258"/>
      <c r="D5" s="258"/>
      <c r="E5" s="258"/>
      <c r="F5" s="258"/>
      <c r="G5" s="258"/>
      <c r="H5" s="258"/>
      <c r="I5" s="258"/>
      <c r="J5" s="258"/>
      <c r="K5" s="258"/>
      <c r="L5" s="258"/>
      <c r="M5" s="258"/>
      <c r="N5" s="258"/>
      <c r="O5" s="258"/>
      <c r="P5" s="267"/>
    </row>
    <row r="6" spans="1:17" ht="14" customHeight="1">
      <c r="B6" s="268"/>
      <c r="C6" s="266"/>
      <c r="D6" s="258"/>
      <c r="E6" s="258"/>
      <c r="F6" s="258"/>
      <c r="G6" s="258"/>
      <c r="H6" s="258"/>
      <c r="I6" s="258"/>
      <c r="J6" s="258"/>
      <c r="K6" s="258"/>
      <c r="L6" s="258"/>
      <c r="M6" s="258"/>
      <c r="N6" s="258"/>
      <c r="O6" s="258"/>
      <c r="P6" s="267"/>
    </row>
    <row r="7" spans="1:17" ht="14" customHeight="1" thickBot="1">
      <c r="B7" s="269"/>
      <c r="C7" s="504" t="s">
        <v>498</v>
      </c>
      <c r="D7" s="504"/>
      <c r="E7" s="504"/>
      <c r="F7" s="504"/>
      <c r="G7" s="504"/>
      <c r="H7" s="210"/>
      <c r="I7" s="504" t="s">
        <v>499</v>
      </c>
      <c r="J7" s="504"/>
      <c r="K7" s="504"/>
      <c r="L7" s="504"/>
      <c r="M7" s="504"/>
      <c r="N7" s="504"/>
      <c r="O7" s="504"/>
      <c r="P7" s="505"/>
    </row>
    <row r="8" spans="1:17" ht="14" customHeight="1" thickBot="1">
      <c r="B8" s="466" t="s">
        <v>359</v>
      </c>
      <c r="C8" s="462" t="s">
        <v>353</v>
      </c>
      <c r="D8" s="462" t="s">
        <v>354</v>
      </c>
      <c r="E8" s="462" t="s">
        <v>355</v>
      </c>
      <c r="F8" s="462" t="s">
        <v>468</v>
      </c>
      <c r="G8" s="462" t="s">
        <v>538</v>
      </c>
      <c r="H8" s="463"/>
      <c r="I8" s="462" t="s">
        <v>345</v>
      </c>
      <c r="J8" s="462" t="s">
        <v>464</v>
      </c>
      <c r="K8" s="462" t="s">
        <v>473</v>
      </c>
      <c r="L8" s="462" t="s">
        <v>487</v>
      </c>
      <c r="M8" s="462" t="s">
        <v>490</v>
      </c>
      <c r="N8" s="462" t="s">
        <v>494</v>
      </c>
      <c r="O8" s="462" t="s">
        <v>539</v>
      </c>
      <c r="P8" s="464" t="s">
        <v>543</v>
      </c>
    </row>
    <row r="9" spans="1:17" ht="14" customHeight="1">
      <c r="A9" s="259"/>
      <c r="B9" s="272" t="s">
        <v>410</v>
      </c>
      <c r="C9" s="273"/>
      <c r="D9" s="273"/>
      <c r="E9" s="273"/>
      <c r="F9" s="273"/>
      <c r="G9" s="273"/>
      <c r="H9" s="274"/>
      <c r="I9" s="273"/>
      <c r="J9" s="273"/>
      <c r="K9" s="273"/>
      <c r="L9" s="273"/>
      <c r="M9" s="273"/>
      <c r="N9" s="273"/>
      <c r="O9" s="273"/>
      <c r="P9" s="275"/>
    </row>
    <row r="10" spans="1:17" ht="14" customHeight="1">
      <c r="A10" s="190"/>
      <c r="B10" s="295" t="s">
        <v>366</v>
      </c>
      <c r="C10" s="279">
        <v>610.745</v>
      </c>
      <c r="D10" s="279">
        <v>633.40499999999997</v>
      </c>
      <c r="E10" s="279">
        <v>785.35400000000004</v>
      </c>
      <c r="F10" s="279">
        <v>662.27499999999998</v>
      </c>
      <c r="G10" s="279">
        <v>547.03800000000001</v>
      </c>
      <c r="H10" s="279"/>
      <c r="I10" s="279">
        <v>177.96</v>
      </c>
      <c r="J10" s="279">
        <v>181.244</v>
      </c>
      <c r="K10" s="279">
        <v>173.72</v>
      </c>
      <c r="L10" s="279">
        <v>132.61799999999999</v>
      </c>
      <c r="M10" s="279">
        <v>185.541</v>
      </c>
      <c r="N10" s="279">
        <v>167.881</v>
      </c>
      <c r="O10" s="279">
        <v>60.997999999999998</v>
      </c>
      <c r="P10" s="280">
        <v>92.944999999999993</v>
      </c>
    </row>
    <row r="11" spans="1:17" ht="14" customHeight="1">
      <c r="A11" s="190"/>
      <c r="B11" s="296" t="s">
        <v>411</v>
      </c>
      <c r="C11" s="277"/>
      <c r="D11" s="277"/>
      <c r="E11" s="277"/>
      <c r="F11" s="277"/>
      <c r="G11" s="277"/>
      <c r="H11" s="277"/>
      <c r="I11" s="277"/>
      <c r="J11" s="277"/>
      <c r="K11" s="277"/>
      <c r="L11" s="277"/>
      <c r="M11" s="277"/>
      <c r="N11" s="277"/>
      <c r="O11" s="277"/>
      <c r="P11" s="278"/>
    </row>
    <row r="12" spans="1:17" ht="14" customHeight="1">
      <c r="A12" s="190"/>
      <c r="B12" s="276" t="s">
        <v>412</v>
      </c>
      <c r="C12" s="277">
        <v>211.78700000000001</v>
      </c>
      <c r="D12" s="277">
        <v>216.02099999999999</v>
      </c>
      <c r="E12" s="277">
        <v>238.947</v>
      </c>
      <c r="F12" s="277">
        <v>233.74199999999999</v>
      </c>
      <c r="G12" s="277">
        <v>241.96100000000001</v>
      </c>
      <c r="H12" s="277"/>
      <c r="I12" s="277">
        <v>58.23</v>
      </c>
      <c r="J12" s="277">
        <v>58.155999999999999</v>
      </c>
      <c r="K12" s="277">
        <v>60.305999999999997</v>
      </c>
      <c r="L12" s="277">
        <v>65.352999999999994</v>
      </c>
      <c r="M12" s="277">
        <v>58.183999999999997</v>
      </c>
      <c r="N12" s="277">
        <v>57.158999999999999</v>
      </c>
      <c r="O12" s="277">
        <v>61.265000000000001</v>
      </c>
      <c r="P12" s="278">
        <v>61.997</v>
      </c>
    </row>
    <row r="13" spans="1:17" ht="14" customHeight="1">
      <c r="A13" s="190"/>
      <c r="B13" s="276" t="s">
        <v>413</v>
      </c>
      <c r="C13" s="277">
        <v>61.384999999999998</v>
      </c>
      <c r="D13" s="277">
        <v>103.83499999999999</v>
      </c>
      <c r="E13" s="277">
        <v>102.645</v>
      </c>
      <c r="F13" s="277">
        <v>112.181</v>
      </c>
      <c r="G13" s="277">
        <v>108.443</v>
      </c>
      <c r="H13" s="277"/>
      <c r="I13" s="277">
        <v>25.873000000000001</v>
      </c>
      <c r="J13" s="277">
        <v>28.952000000000002</v>
      </c>
      <c r="K13" s="277">
        <v>31.533999999999999</v>
      </c>
      <c r="L13" s="277">
        <v>27.033000000000001</v>
      </c>
      <c r="M13" s="277">
        <v>27.103999999999999</v>
      </c>
      <c r="N13" s="277">
        <v>27.158000000000001</v>
      </c>
      <c r="O13" s="277">
        <v>27.148</v>
      </c>
      <c r="P13" s="278">
        <v>27.19</v>
      </c>
    </row>
    <row r="14" spans="1:17">
      <c r="A14" s="190"/>
      <c r="B14" s="276" t="s">
        <v>414</v>
      </c>
      <c r="C14" s="277">
        <v>-189.989</v>
      </c>
      <c r="D14" s="277">
        <v>-227.23599999999999</v>
      </c>
      <c r="E14" s="277">
        <v>-295.58999999999997</v>
      </c>
      <c r="F14" s="277">
        <v>-238.803</v>
      </c>
      <c r="G14" s="277">
        <v>-231.03399999999999</v>
      </c>
      <c r="H14" s="277"/>
      <c r="I14" s="277">
        <v>-59.411000000000001</v>
      </c>
      <c r="J14" s="277">
        <v>-60.722000000000001</v>
      </c>
      <c r="K14" s="277">
        <v>-58.637</v>
      </c>
      <c r="L14" s="277">
        <v>-58.73</v>
      </c>
      <c r="M14" s="277">
        <v>-58.677</v>
      </c>
      <c r="N14" s="277">
        <v>-56.857999999999997</v>
      </c>
      <c r="O14" s="277">
        <v>-56.768999999999998</v>
      </c>
      <c r="P14" s="278">
        <v>-55.106999999999999</v>
      </c>
    </row>
    <row r="15" spans="1:17">
      <c r="A15" s="190"/>
      <c r="B15" s="276" t="s">
        <v>415</v>
      </c>
      <c r="C15" s="277">
        <v>326.83</v>
      </c>
      <c r="D15" s="277">
        <v>337.34399999999999</v>
      </c>
      <c r="E15" s="277">
        <v>346.14299999999997</v>
      </c>
      <c r="F15" s="277">
        <v>351.67599999999999</v>
      </c>
      <c r="G15" s="277">
        <v>357.17499999999995</v>
      </c>
      <c r="H15" s="277"/>
      <c r="I15" s="277">
        <v>87.412999999999997</v>
      </c>
      <c r="J15" s="277">
        <v>88.778999999999996</v>
      </c>
      <c r="K15" s="277">
        <v>88.158000000000001</v>
      </c>
      <c r="L15" s="277">
        <v>88.325000000000003</v>
      </c>
      <c r="M15" s="277">
        <v>89.603999999999999</v>
      </c>
      <c r="N15" s="277">
        <v>89.86</v>
      </c>
      <c r="O15" s="277">
        <v>89.385999999999996</v>
      </c>
      <c r="P15" s="278">
        <v>89.92</v>
      </c>
    </row>
    <row r="16" spans="1:17">
      <c r="A16" s="190"/>
      <c r="B16" s="276" t="s">
        <v>416</v>
      </c>
      <c r="C16" s="277">
        <v>-45.758000000000003</v>
      </c>
      <c r="D16" s="277">
        <v>-29.681000000000001</v>
      </c>
      <c r="E16" s="277">
        <v>-32.792999999999999</v>
      </c>
      <c r="F16" s="277">
        <v>-30.411000000000001</v>
      </c>
      <c r="G16" s="277">
        <v>-27.466000000000001</v>
      </c>
      <c r="H16" s="277"/>
      <c r="I16" s="277">
        <v>-10.132</v>
      </c>
      <c r="J16" s="277">
        <v>-4.1429999999999998</v>
      </c>
      <c r="K16" s="277">
        <v>-11.023999999999999</v>
      </c>
      <c r="L16" s="277">
        <v>-7.5890000000000004</v>
      </c>
      <c r="M16" s="277">
        <v>-4.2</v>
      </c>
      <c r="N16" s="277">
        <v>-6.1219999999999999</v>
      </c>
      <c r="O16" s="277">
        <v>-9.5549999999999997</v>
      </c>
      <c r="P16" s="278">
        <v>-7.0730000000000004</v>
      </c>
    </row>
    <row r="17" spans="1:16">
      <c r="A17" s="190"/>
      <c r="B17" s="276" t="s">
        <v>417</v>
      </c>
      <c r="C17" s="277">
        <v>-14.647</v>
      </c>
      <c r="D17" s="277">
        <v>7.3999999999999996E-2</v>
      </c>
      <c r="E17" s="277">
        <v>-2.13</v>
      </c>
      <c r="F17" s="277">
        <v>-7.1870000000000003</v>
      </c>
      <c r="G17" s="277">
        <v>25.211999999999996</v>
      </c>
      <c r="H17" s="277"/>
      <c r="I17" s="277">
        <v>-1.8240000000000001</v>
      </c>
      <c r="J17" s="277">
        <v>-2.085</v>
      </c>
      <c r="K17" s="277">
        <v>-2.15</v>
      </c>
      <c r="L17" s="277">
        <v>-1.2230000000000001</v>
      </c>
      <c r="M17" s="277">
        <v>-1.538</v>
      </c>
      <c r="N17" s="277">
        <v>-1.5840000000000001</v>
      </c>
      <c r="O17" s="277">
        <v>29.556999999999999</v>
      </c>
      <c r="P17" s="278">
        <v>4.51</v>
      </c>
    </row>
    <row r="18" spans="1:16">
      <c r="A18" s="190"/>
      <c r="B18" s="276" t="s">
        <v>418</v>
      </c>
      <c r="C18" s="277">
        <v>4.8049999999999997</v>
      </c>
      <c r="D18" s="277">
        <v>9.6769999999999996</v>
      </c>
      <c r="E18" s="277">
        <v>8.0619999999999994</v>
      </c>
      <c r="F18" s="277">
        <v>8.5719999999999992</v>
      </c>
      <c r="G18" s="277">
        <v>7.745000000000001</v>
      </c>
      <c r="H18" s="277"/>
      <c r="I18" s="277">
        <v>3.35</v>
      </c>
      <c r="J18" s="277">
        <v>2.6179999999999999</v>
      </c>
      <c r="K18" s="277">
        <v>1.159</v>
      </c>
      <c r="L18" s="277">
        <v>1.518</v>
      </c>
      <c r="M18" s="277">
        <v>2.5840000000000001</v>
      </c>
      <c r="N18" s="277">
        <v>1.881</v>
      </c>
      <c r="O18" s="277">
        <v>1.762</v>
      </c>
      <c r="P18" s="278">
        <v>1.4470000000000001</v>
      </c>
    </row>
    <row r="19" spans="1:16">
      <c r="A19" s="190"/>
      <c r="B19" s="276" t="s">
        <v>419</v>
      </c>
      <c r="C19" s="277">
        <v>-251.01400000000001</v>
      </c>
      <c r="D19" s="277">
        <v>0</v>
      </c>
      <c r="E19" s="277">
        <v>0</v>
      </c>
      <c r="F19" s="277">
        <v>0</v>
      </c>
      <c r="G19" s="277">
        <v>0</v>
      </c>
      <c r="H19" s="277"/>
      <c r="I19" s="277">
        <v>0</v>
      </c>
      <c r="J19" s="277">
        <v>0</v>
      </c>
      <c r="K19" s="277">
        <v>0</v>
      </c>
      <c r="L19" s="277">
        <v>0</v>
      </c>
      <c r="M19" s="277">
        <v>0</v>
      </c>
      <c r="N19" s="277">
        <v>0</v>
      </c>
      <c r="O19" s="277">
        <v>0</v>
      </c>
      <c r="P19" s="278">
        <v>0</v>
      </c>
    </row>
    <row r="20" spans="1:16">
      <c r="A20" s="190"/>
      <c r="B20" s="286" t="s">
        <v>420</v>
      </c>
      <c r="C20" s="277">
        <v>-51.95</v>
      </c>
      <c r="D20" s="277">
        <v>0</v>
      </c>
      <c r="E20" s="277">
        <v>0</v>
      </c>
      <c r="F20" s="277">
        <v>0</v>
      </c>
      <c r="G20" s="277">
        <v>0</v>
      </c>
      <c r="H20" s="277"/>
      <c r="I20" s="277">
        <v>0</v>
      </c>
      <c r="J20" s="277">
        <v>0</v>
      </c>
      <c r="K20" s="277">
        <v>0</v>
      </c>
      <c r="L20" s="277">
        <v>0</v>
      </c>
      <c r="M20" s="277">
        <v>0</v>
      </c>
      <c r="N20" s="277">
        <v>0</v>
      </c>
      <c r="O20" s="277">
        <v>0</v>
      </c>
      <c r="P20" s="278">
        <v>0</v>
      </c>
    </row>
    <row r="21" spans="1:16">
      <c r="A21" s="190"/>
      <c r="B21" s="286" t="s">
        <v>421</v>
      </c>
      <c r="C21" s="277">
        <v>0</v>
      </c>
      <c r="D21" s="277">
        <v>2.016</v>
      </c>
      <c r="E21" s="277">
        <v>0</v>
      </c>
      <c r="F21" s="277">
        <v>0</v>
      </c>
      <c r="G21" s="277">
        <v>0</v>
      </c>
      <c r="H21" s="277"/>
      <c r="I21" s="277">
        <v>0</v>
      </c>
      <c r="J21" s="277">
        <v>0</v>
      </c>
      <c r="K21" s="277">
        <v>0</v>
      </c>
      <c r="L21" s="277">
        <v>0</v>
      </c>
      <c r="M21" s="277">
        <v>0</v>
      </c>
      <c r="N21" s="277">
        <v>8.2129999999999992</v>
      </c>
      <c r="O21" s="277">
        <v>-8.2129999999999992</v>
      </c>
      <c r="P21" s="278">
        <v>0</v>
      </c>
    </row>
    <row r="22" spans="1:16">
      <c r="A22" s="190"/>
      <c r="B22" s="276" t="s">
        <v>422</v>
      </c>
      <c r="C22" s="277">
        <v>120.78100000000001</v>
      </c>
      <c r="D22" s="277">
        <v>-71.655000000000001</v>
      </c>
      <c r="E22" s="277">
        <v>-148.77000000000001</v>
      </c>
      <c r="F22" s="277">
        <v>-5.9649999999999999</v>
      </c>
      <c r="G22" s="277">
        <v>17.585000000000001</v>
      </c>
      <c r="H22" s="277"/>
      <c r="I22" s="277">
        <v>-1.3260000000000001</v>
      </c>
      <c r="J22" s="277">
        <v>-0.372</v>
      </c>
      <c r="K22" s="277">
        <v>-3.714</v>
      </c>
      <c r="L22" s="277">
        <v>-0.50700000000000001</v>
      </c>
      <c r="M22" s="277">
        <v>-4.702</v>
      </c>
      <c r="N22" s="277">
        <v>4.1079999999999997</v>
      </c>
      <c r="O22" s="277">
        <v>18.686</v>
      </c>
      <c r="P22" s="278">
        <v>-0.629</v>
      </c>
    </row>
    <row r="23" spans="1:16">
      <c r="A23" s="190"/>
      <c r="B23" s="276" t="s">
        <v>423</v>
      </c>
      <c r="C23" s="277">
        <v>0</v>
      </c>
      <c r="D23" s="277">
        <v>-8.83</v>
      </c>
      <c r="E23" s="277">
        <v>3.895</v>
      </c>
      <c r="F23" s="277">
        <v>2.4780000000000002</v>
      </c>
      <c r="G23" s="277">
        <v>0.872</v>
      </c>
      <c r="H23" s="277"/>
      <c r="I23" s="277">
        <v>0</v>
      </c>
      <c r="J23" s="277">
        <v>0</v>
      </c>
      <c r="K23" s="277">
        <v>2.4780000000000002</v>
      </c>
      <c r="L23" s="277">
        <v>0</v>
      </c>
      <c r="M23" s="277">
        <v>0</v>
      </c>
      <c r="N23" s="277">
        <v>0</v>
      </c>
      <c r="O23" s="277">
        <v>0.872</v>
      </c>
      <c r="P23" s="278">
        <v>0.25700000000000001</v>
      </c>
    </row>
    <row r="24" spans="1:16">
      <c r="A24" s="190"/>
      <c r="B24" s="276" t="s">
        <v>213</v>
      </c>
      <c r="C24" s="277">
        <v>-2.6850000000000001</v>
      </c>
      <c r="D24" s="277">
        <v>-21.704999999999998</v>
      </c>
      <c r="E24" s="277">
        <v>-60.54</v>
      </c>
      <c r="F24" s="277">
        <v>-40.893000000000001</v>
      </c>
      <c r="G24" s="277">
        <v>-30.556000000000001</v>
      </c>
      <c r="H24" s="277"/>
      <c r="I24" s="277">
        <v>-3.25</v>
      </c>
      <c r="J24" s="277">
        <v>-7.5330000000000004</v>
      </c>
      <c r="K24" s="277">
        <v>-9.1300000000000008</v>
      </c>
      <c r="L24" s="277">
        <v>-10.589</v>
      </c>
      <c r="M24" s="277">
        <v>-7.87</v>
      </c>
      <c r="N24" s="277">
        <v>-8.7850000000000001</v>
      </c>
      <c r="O24" s="277">
        <v>-3.3119999999999998</v>
      </c>
      <c r="P24" s="278">
        <v>-5.0430000000000001</v>
      </c>
    </row>
    <row r="25" spans="1:16">
      <c r="A25" s="190"/>
      <c r="B25" s="276" t="s">
        <v>10</v>
      </c>
      <c r="C25" s="277">
        <v>257.70800000000003</v>
      </c>
      <c r="D25" s="277">
        <v>289.44400000000002</v>
      </c>
      <c r="E25" s="277">
        <v>264.62299999999999</v>
      </c>
      <c r="F25" s="277">
        <v>215.26300000000001</v>
      </c>
      <c r="G25" s="277">
        <v>260.03899999999999</v>
      </c>
      <c r="H25" s="277"/>
      <c r="I25" s="277">
        <v>57.087000000000003</v>
      </c>
      <c r="J25" s="277">
        <v>48.128999999999998</v>
      </c>
      <c r="K25" s="277">
        <v>49.59</v>
      </c>
      <c r="L25" s="277">
        <v>47.329000000000001</v>
      </c>
      <c r="M25" s="277">
        <v>66.536000000000001</v>
      </c>
      <c r="N25" s="277">
        <v>69.858999999999995</v>
      </c>
      <c r="O25" s="277">
        <v>76.314999999999998</v>
      </c>
      <c r="P25" s="278">
        <v>76.197999999999993</v>
      </c>
    </row>
    <row r="26" spans="1:16">
      <c r="A26" s="190"/>
      <c r="B26" s="272" t="s">
        <v>424</v>
      </c>
      <c r="C26" s="476">
        <f>SUM(C10:C25)</f>
        <v>1037.998</v>
      </c>
      <c r="D26" s="476">
        <f>SUM(D10:D25)</f>
        <v>1232.7089999999998</v>
      </c>
      <c r="E26" s="476">
        <f>SUM(E10:E25)</f>
        <v>1209.846</v>
      </c>
      <c r="F26" s="476">
        <f>SUM(F10:F25)</f>
        <v>1262.9279999999999</v>
      </c>
      <c r="G26" s="476">
        <f>SUM(G10:G25)</f>
        <v>1277.0139999999999</v>
      </c>
      <c r="H26" s="477"/>
      <c r="I26" s="476">
        <f t="shared" ref="I26:P26" si="0">SUM(I10:I25)</f>
        <v>333.96999999999997</v>
      </c>
      <c r="J26" s="476">
        <f t="shared" si="0"/>
        <v>333.02300000000002</v>
      </c>
      <c r="K26" s="476">
        <f t="shared" si="0"/>
        <v>322.29000000000008</v>
      </c>
      <c r="L26" s="476">
        <f t="shared" si="0"/>
        <v>283.53800000000001</v>
      </c>
      <c r="M26" s="476">
        <f t="shared" si="0"/>
        <v>352.56600000000003</v>
      </c>
      <c r="N26" s="476">
        <f t="shared" si="0"/>
        <v>352.76999999999992</v>
      </c>
      <c r="O26" s="476">
        <f t="shared" si="0"/>
        <v>288.14</v>
      </c>
      <c r="P26" s="476">
        <f t="shared" si="0"/>
        <v>286.61199999999997</v>
      </c>
    </row>
    <row r="27" spans="1:16">
      <c r="A27" s="190"/>
      <c r="B27" s="296" t="s">
        <v>425</v>
      </c>
      <c r="C27" s="279"/>
      <c r="D27" s="279"/>
      <c r="E27" s="279"/>
      <c r="F27" s="279"/>
      <c r="G27" s="279"/>
      <c r="H27" s="277"/>
      <c r="I27" s="279"/>
      <c r="J27" s="279"/>
      <c r="K27" s="279"/>
      <c r="L27" s="279"/>
      <c r="M27" s="279"/>
      <c r="N27" s="279"/>
      <c r="O27" s="279"/>
      <c r="P27" s="280"/>
    </row>
    <row r="28" spans="1:16">
      <c r="A28" s="190"/>
      <c r="B28" s="276" t="s">
        <v>80</v>
      </c>
      <c r="C28" s="277">
        <v>-7.234</v>
      </c>
      <c r="D28" s="277">
        <v>-9.1910000000000007</v>
      </c>
      <c r="E28" s="277">
        <v>-9.6639999999999997</v>
      </c>
      <c r="F28" s="277">
        <v>-4.5019999999999998</v>
      </c>
      <c r="G28" s="277">
        <v>-10.755000000000001</v>
      </c>
      <c r="H28" s="277"/>
      <c r="I28" s="277">
        <v>-0.105</v>
      </c>
      <c r="J28" s="277">
        <v>-3.7730000000000001</v>
      </c>
      <c r="K28" s="277">
        <v>0.36</v>
      </c>
      <c r="L28" s="277">
        <v>-3.3570000000000002</v>
      </c>
      <c r="M28" s="277">
        <v>-0.75900000000000001</v>
      </c>
      <c r="N28" s="277">
        <v>-4.2709999999999999</v>
      </c>
      <c r="O28" s="277">
        <v>-2.3679999999999999</v>
      </c>
      <c r="P28" s="278">
        <v>-8.9190000000000005</v>
      </c>
    </row>
    <row r="29" spans="1:16">
      <c r="A29" s="190"/>
      <c r="B29" s="276" t="s">
        <v>384</v>
      </c>
      <c r="C29" s="277">
        <v>296.41300000000001</v>
      </c>
      <c r="D29" s="277">
        <v>47.514000000000003</v>
      </c>
      <c r="E29" s="277">
        <v>6.1790000000000003</v>
      </c>
      <c r="F29" s="277">
        <v>1.0469999999999999</v>
      </c>
      <c r="G29" s="277">
        <v>-61.949000000000012</v>
      </c>
      <c r="H29" s="277"/>
      <c r="I29" s="277">
        <v>-91.85</v>
      </c>
      <c r="J29" s="277">
        <v>-132.57300000000001</v>
      </c>
      <c r="K29" s="277">
        <v>194.215</v>
      </c>
      <c r="L29" s="277">
        <v>33.691000000000003</v>
      </c>
      <c r="M29" s="277">
        <v>-177.35400000000001</v>
      </c>
      <c r="N29" s="277">
        <v>-73.739000000000004</v>
      </c>
      <c r="O29" s="277">
        <v>155.453</v>
      </c>
      <c r="P29" s="278">
        <v>106.06699999999999</v>
      </c>
    </row>
    <row r="30" spans="1:16">
      <c r="A30" s="259"/>
      <c r="B30" s="276" t="s">
        <v>397</v>
      </c>
      <c r="C30" s="277">
        <v>-10.773</v>
      </c>
      <c r="D30" s="277">
        <v>92.296000000000006</v>
      </c>
      <c r="E30" s="277">
        <v>84.247</v>
      </c>
      <c r="F30" s="277">
        <v>-66.858000000000004</v>
      </c>
      <c r="G30" s="277">
        <v>-135.25200000000001</v>
      </c>
      <c r="H30" s="277"/>
      <c r="I30" s="277">
        <v>8.6519999999999992</v>
      </c>
      <c r="J30" s="277">
        <v>79.299000000000007</v>
      </c>
      <c r="K30" s="277">
        <v>-94.61</v>
      </c>
      <c r="L30" s="277">
        <v>-105.917</v>
      </c>
      <c r="M30" s="277">
        <v>71.067999999999998</v>
      </c>
      <c r="N30" s="277">
        <v>73.807000000000002</v>
      </c>
      <c r="O30" s="277">
        <v>-174.21</v>
      </c>
      <c r="P30" s="278">
        <v>-28.888999999999999</v>
      </c>
    </row>
    <row r="31" spans="1:16">
      <c r="B31" s="272" t="s">
        <v>426</v>
      </c>
      <c r="C31" s="476">
        <f>SUM(C26:C30)</f>
        <v>1316.4040000000002</v>
      </c>
      <c r="D31" s="476">
        <f t="shared" ref="D31:G31" si="1">SUM(D26:D30)</f>
        <v>1363.3279999999997</v>
      </c>
      <c r="E31" s="476">
        <f t="shared" si="1"/>
        <v>1290.6080000000002</v>
      </c>
      <c r="F31" s="476">
        <f t="shared" si="1"/>
        <v>1192.615</v>
      </c>
      <c r="G31" s="476">
        <f t="shared" si="1"/>
        <v>1069.0579999999998</v>
      </c>
      <c r="H31" s="477"/>
      <c r="I31" s="476">
        <f t="shared" ref="I31:O31" si="2">SUM(I26:I30)</f>
        <v>250.66699999999994</v>
      </c>
      <c r="J31" s="476">
        <f t="shared" si="2"/>
        <v>275.976</v>
      </c>
      <c r="K31" s="476">
        <f t="shared" si="2"/>
        <v>422.25500000000011</v>
      </c>
      <c r="L31" s="476">
        <f t="shared" si="2"/>
        <v>207.95499999999996</v>
      </c>
      <c r="M31" s="476">
        <f t="shared" si="2"/>
        <v>245.52100000000002</v>
      </c>
      <c r="N31" s="476">
        <f t="shared" si="2"/>
        <v>348.56699999999989</v>
      </c>
      <c r="O31" s="476">
        <f t="shared" si="2"/>
        <v>267.01499999999999</v>
      </c>
      <c r="P31" s="476">
        <f t="shared" ref="P31" si="3">SUM(P26:P30)</f>
        <v>354.87099999999998</v>
      </c>
    </row>
    <row r="32" spans="1:16">
      <c r="B32" s="276" t="s">
        <v>427</v>
      </c>
      <c r="C32" s="277">
        <v>0</v>
      </c>
      <c r="D32" s="277">
        <v>-8.2620000000000005</v>
      </c>
      <c r="E32" s="277">
        <v>-5.51</v>
      </c>
      <c r="F32" s="277">
        <v>-3.6509999999999998</v>
      </c>
      <c r="G32" s="277">
        <v>-4.3259999999999996</v>
      </c>
      <c r="H32" s="277"/>
      <c r="I32" s="277">
        <v>-0.39600000000000002</v>
      </c>
      <c r="J32" s="277">
        <v>-0.16400000000000001</v>
      </c>
      <c r="K32" s="277">
        <v>-3.0270000000000001</v>
      </c>
      <c r="L32" s="277">
        <v>-0.64200000000000002</v>
      </c>
      <c r="M32" s="277">
        <v>-1.3620000000000001</v>
      </c>
      <c r="N32" s="277">
        <v>-1.091</v>
      </c>
      <c r="O32" s="277">
        <v>-1.2310000000000001</v>
      </c>
      <c r="P32" s="278">
        <v>-2.7970000000000002</v>
      </c>
    </row>
    <row r="33" spans="1:16" ht="14.5" thickBot="1">
      <c r="A33" s="190"/>
      <c r="B33" s="276" t="s">
        <v>428</v>
      </c>
      <c r="C33" s="277">
        <v>0</v>
      </c>
      <c r="D33" s="277">
        <v>0</v>
      </c>
      <c r="E33" s="277">
        <v>0</v>
      </c>
      <c r="F33" s="277">
        <v>0</v>
      </c>
      <c r="G33" s="277">
        <v>-62.731999999999999</v>
      </c>
      <c r="H33" s="277"/>
      <c r="I33" s="277">
        <v>0</v>
      </c>
      <c r="J33" s="277">
        <v>0</v>
      </c>
      <c r="K33" s="277">
        <v>0</v>
      </c>
      <c r="L33" s="277">
        <v>0</v>
      </c>
      <c r="M33" s="277">
        <v>0</v>
      </c>
      <c r="N33" s="277">
        <v>-62.731999999999999</v>
      </c>
      <c r="O33" s="277">
        <v>0</v>
      </c>
      <c r="P33" s="278">
        <v>0</v>
      </c>
    </row>
    <row r="34" spans="1:16" ht="14.5" thickBot="1">
      <c r="B34" s="293" t="s">
        <v>429</v>
      </c>
      <c r="C34" s="479">
        <f>SUM(C31:C33)</f>
        <v>1316.4040000000002</v>
      </c>
      <c r="D34" s="479">
        <f t="shared" ref="D34:G34" si="4">SUM(D31:D33)</f>
        <v>1355.0659999999998</v>
      </c>
      <c r="E34" s="479">
        <f t="shared" si="4"/>
        <v>1285.0980000000002</v>
      </c>
      <c r="F34" s="479">
        <f t="shared" si="4"/>
        <v>1188.9639999999999</v>
      </c>
      <c r="G34" s="479">
        <f t="shared" si="4"/>
        <v>1001.9999999999998</v>
      </c>
      <c r="H34" s="476"/>
      <c r="I34" s="479">
        <f t="shared" ref="I34:O34" si="5">SUM(I31:I33)</f>
        <v>250.27099999999996</v>
      </c>
      <c r="J34" s="479">
        <f t="shared" si="5"/>
        <v>275.81200000000001</v>
      </c>
      <c r="K34" s="479">
        <f t="shared" si="5"/>
        <v>419.22800000000012</v>
      </c>
      <c r="L34" s="479">
        <f t="shared" si="5"/>
        <v>207.31299999999996</v>
      </c>
      <c r="M34" s="479">
        <f t="shared" si="5"/>
        <v>244.15900000000002</v>
      </c>
      <c r="N34" s="479">
        <f t="shared" si="5"/>
        <v>284.74399999999991</v>
      </c>
      <c r="O34" s="479">
        <f t="shared" si="5"/>
        <v>265.78399999999999</v>
      </c>
      <c r="P34" s="479">
        <f t="shared" ref="P34" si="6">SUM(P31:P33)</f>
        <v>352.07399999999996</v>
      </c>
    </row>
    <row r="35" spans="1:16">
      <c r="B35" s="272" t="s">
        <v>430</v>
      </c>
      <c r="C35" s="279"/>
      <c r="D35" s="279"/>
      <c r="E35" s="279"/>
      <c r="F35" s="279"/>
      <c r="G35" s="279"/>
      <c r="H35" s="277"/>
      <c r="I35" s="279"/>
      <c r="J35" s="279"/>
      <c r="K35" s="279"/>
      <c r="L35" s="279"/>
      <c r="M35" s="279"/>
      <c r="N35" s="279"/>
      <c r="O35" s="279"/>
      <c r="P35" s="280"/>
    </row>
    <row r="36" spans="1:16">
      <c r="A36" s="259"/>
      <c r="B36" s="276" t="s">
        <v>431</v>
      </c>
      <c r="C36" s="277">
        <v>-188.608</v>
      </c>
      <c r="D36" s="277">
        <v>-184.44200000000001</v>
      </c>
      <c r="E36" s="277">
        <v>-180.374</v>
      </c>
      <c r="F36" s="277">
        <v>-256.73399999999998</v>
      </c>
      <c r="G36" s="277">
        <v>-192.60000000000002</v>
      </c>
      <c r="H36" s="277"/>
      <c r="I36" s="277">
        <v>-45.713999999999999</v>
      </c>
      <c r="J36" s="277">
        <v>-107.64700000000001</v>
      </c>
      <c r="K36" s="277">
        <v>-46.826000000000001</v>
      </c>
      <c r="L36" s="277">
        <v>-25.19</v>
      </c>
      <c r="M36" s="277">
        <v>-40.777000000000001</v>
      </c>
      <c r="N36" s="277">
        <v>-103.1</v>
      </c>
      <c r="O36" s="277">
        <v>-23.533000000000001</v>
      </c>
      <c r="P36" s="278">
        <v>-70.527000000000001</v>
      </c>
    </row>
    <row r="37" spans="1:16">
      <c r="A37" s="259"/>
      <c r="B37" s="276" t="s">
        <v>432</v>
      </c>
      <c r="C37" s="277">
        <v>-1212.135</v>
      </c>
      <c r="D37" s="277">
        <v>0</v>
      </c>
      <c r="E37" s="277">
        <v>0</v>
      </c>
      <c r="F37" s="277">
        <v>0</v>
      </c>
      <c r="G37" s="277">
        <v>0</v>
      </c>
      <c r="H37" s="277"/>
      <c r="I37" s="277">
        <v>0</v>
      </c>
      <c r="J37" s="277">
        <v>0</v>
      </c>
      <c r="K37" s="277">
        <v>0</v>
      </c>
      <c r="L37" s="277">
        <v>0</v>
      </c>
      <c r="M37" s="277">
        <v>0</v>
      </c>
      <c r="N37" s="277">
        <v>0</v>
      </c>
      <c r="O37" s="277">
        <v>0</v>
      </c>
      <c r="P37" s="278">
        <v>0</v>
      </c>
    </row>
    <row r="38" spans="1:16">
      <c r="B38" s="276" t="s">
        <v>433</v>
      </c>
      <c r="C38" s="277">
        <v>0</v>
      </c>
      <c r="D38" s="277">
        <v>0</v>
      </c>
      <c r="E38" s="277">
        <v>1.458</v>
      </c>
      <c r="F38" s="277">
        <v>0</v>
      </c>
      <c r="G38" s="277">
        <v>0</v>
      </c>
      <c r="H38" s="277"/>
      <c r="I38" s="277">
        <v>0</v>
      </c>
      <c r="J38" s="277">
        <v>0</v>
      </c>
      <c r="K38" s="277">
        <v>0</v>
      </c>
      <c r="L38" s="277">
        <v>0</v>
      </c>
      <c r="M38" s="277">
        <v>0</v>
      </c>
      <c r="N38" s="277">
        <v>0</v>
      </c>
      <c r="O38" s="277">
        <v>0</v>
      </c>
      <c r="P38" s="278">
        <v>0</v>
      </c>
    </row>
    <row r="39" spans="1:16">
      <c r="B39" s="276" t="s">
        <v>434</v>
      </c>
      <c r="C39" s="277">
        <v>0</v>
      </c>
      <c r="D39" s="277">
        <v>-53.484999999999999</v>
      </c>
      <c r="E39" s="277">
        <v>0</v>
      </c>
      <c r="F39" s="277">
        <v>0</v>
      </c>
      <c r="G39" s="277">
        <v>-1190</v>
      </c>
      <c r="H39" s="277"/>
      <c r="I39" s="277">
        <v>0</v>
      </c>
      <c r="J39" s="277">
        <v>0</v>
      </c>
      <c r="K39" s="277">
        <v>0</v>
      </c>
      <c r="L39" s="277">
        <v>0</v>
      </c>
      <c r="M39" s="277">
        <v>0</v>
      </c>
      <c r="N39" s="277">
        <v>-1190</v>
      </c>
      <c r="O39" s="277">
        <v>0</v>
      </c>
      <c r="P39" s="278">
        <v>0</v>
      </c>
    </row>
    <row r="40" spans="1:16">
      <c r="B40" s="276" t="s">
        <v>435</v>
      </c>
      <c r="C40" s="277">
        <v>0</v>
      </c>
      <c r="D40" s="277">
        <v>0</v>
      </c>
      <c r="E40" s="277">
        <v>0</v>
      </c>
      <c r="F40" s="277">
        <v>0</v>
      </c>
      <c r="G40" s="277">
        <v>0</v>
      </c>
      <c r="H40" s="277"/>
      <c r="I40" s="277">
        <v>0</v>
      </c>
      <c r="J40" s="277">
        <v>0</v>
      </c>
      <c r="K40" s="277">
        <v>0</v>
      </c>
      <c r="L40" s="277">
        <v>0</v>
      </c>
      <c r="M40" s="277">
        <v>0</v>
      </c>
      <c r="N40" s="277">
        <v>0</v>
      </c>
      <c r="O40" s="277">
        <v>0</v>
      </c>
      <c r="P40" s="278">
        <v>-15.103</v>
      </c>
    </row>
    <row r="41" spans="1:16">
      <c r="B41" s="276" t="s">
        <v>436</v>
      </c>
      <c r="C41" s="277">
        <v>406.56700000000001</v>
      </c>
      <c r="D41" s="277">
        <v>-10.596</v>
      </c>
      <c r="E41" s="277">
        <v>68.066999999999993</v>
      </c>
      <c r="F41" s="277">
        <v>17.468</v>
      </c>
      <c r="G41" s="277">
        <v>6.0389999999999997</v>
      </c>
      <c r="H41" s="277"/>
      <c r="I41" s="277">
        <v>0</v>
      </c>
      <c r="J41" s="277">
        <v>17.468</v>
      </c>
      <c r="K41" s="277">
        <v>0</v>
      </c>
      <c r="L41" s="277">
        <v>0</v>
      </c>
      <c r="M41" s="277">
        <v>6.0389999999999997</v>
      </c>
      <c r="N41" s="277">
        <v>0</v>
      </c>
      <c r="O41" s="277">
        <v>0</v>
      </c>
      <c r="P41" s="278">
        <v>0</v>
      </c>
    </row>
    <row r="42" spans="1:16">
      <c r="B42" s="276" t="s">
        <v>437</v>
      </c>
      <c r="C42" s="277">
        <v>14.586</v>
      </c>
      <c r="D42" s="277">
        <v>9.5139999999999993</v>
      </c>
      <c r="E42" s="277">
        <v>11.565</v>
      </c>
      <c r="F42" s="277">
        <v>21.288</v>
      </c>
      <c r="G42" s="277">
        <v>46.378</v>
      </c>
      <c r="H42" s="277"/>
      <c r="I42" s="277">
        <v>4.0289999999999999</v>
      </c>
      <c r="J42" s="277">
        <v>13.879</v>
      </c>
      <c r="K42" s="277">
        <v>3.38</v>
      </c>
      <c r="L42" s="277">
        <v>-1E-3</v>
      </c>
      <c r="M42" s="277">
        <v>6.1109999999999998</v>
      </c>
      <c r="N42" s="277">
        <v>0</v>
      </c>
      <c r="O42" s="277">
        <v>40.268000000000001</v>
      </c>
      <c r="P42" s="278">
        <v>4.5</v>
      </c>
    </row>
    <row r="43" spans="1:16">
      <c r="B43" s="276" t="s">
        <v>438</v>
      </c>
      <c r="C43" s="277">
        <v>2.9980000000000002</v>
      </c>
      <c r="D43" s="277">
        <v>19.007000000000001</v>
      </c>
      <c r="E43" s="277">
        <v>59.61</v>
      </c>
      <c r="F43" s="277">
        <v>36.101999999999997</v>
      </c>
      <c r="G43" s="277">
        <v>38.769000000000005</v>
      </c>
      <c r="H43" s="277"/>
      <c r="I43" s="277">
        <v>1.5569999999999999</v>
      </c>
      <c r="J43" s="277">
        <v>6.6040000000000001</v>
      </c>
      <c r="K43" s="277">
        <v>8.1999999999999993</v>
      </c>
      <c r="L43" s="277">
        <v>11.295</v>
      </c>
      <c r="M43" s="277">
        <v>11.723000000000001</v>
      </c>
      <c r="N43" s="277">
        <v>7.242</v>
      </c>
      <c r="O43" s="277">
        <v>8.5090000000000003</v>
      </c>
      <c r="P43" s="278">
        <v>5.3879999999999999</v>
      </c>
    </row>
    <row r="44" spans="1:16" ht="14.5" thickBot="1">
      <c r="B44" s="276" t="s">
        <v>439</v>
      </c>
      <c r="C44" s="277">
        <v>0</v>
      </c>
      <c r="D44" s="277">
        <v>0</v>
      </c>
      <c r="E44" s="277">
        <v>-14.308999999999999</v>
      </c>
      <c r="F44" s="277">
        <v>4.7709999999999999</v>
      </c>
      <c r="G44" s="277">
        <v>-1.1249999999999998</v>
      </c>
      <c r="H44" s="277"/>
      <c r="I44" s="277">
        <v>2.052</v>
      </c>
      <c r="J44" s="277">
        <v>2.706</v>
      </c>
      <c r="K44" s="277">
        <v>1.2999999999999999E-2</v>
      </c>
      <c r="L44" s="277">
        <v>-1E-3</v>
      </c>
      <c r="M44" s="277">
        <v>1.45</v>
      </c>
      <c r="N44" s="277">
        <v>-2.5739999999999998</v>
      </c>
      <c r="O44" s="277">
        <v>0</v>
      </c>
      <c r="P44" s="278">
        <v>3.8130000000000002</v>
      </c>
    </row>
    <row r="45" spans="1:16" ht="14.5" thickBot="1">
      <c r="A45" s="259"/>
      <c r="B45" s="293" t="s">
        <v>440</v>
      </c>
      <c r="C45" s="479">
        <f>SUM(C36:C44)</f>
        <v>-976.59199999999987</v>
      </c>
      <c r="D45" s="479">
        <f t="shared" ref="D45:G45" si="7">SUM(D36:D44)</f>
        <v>-220.00200000000001</v>
      </c>
      <c r="E45" s="479">
        <f t="shared" si="7"/>
        <v>-53.983000000000004</v>
      </c>
      <c r="F45" s="479">
        <f t="shared" si="7"/>
        <v>-177.10499999999999</v>
      </c>
      <c r="G45" s="479">
        <f t="shared" si="7"/>
        <v>-1292.539</v>
      </c>
      <c r="H45" s="476"/>
      <c r="I45" s="479">
        <f t="shared" ref="I45:O45" si="8">SUM(I36:I44)</f>
        <v>-38.076000000000001</v>
      </c>
      <c r="J45" s="479">
        <f t="shared" si="8"/>
        <v>-66.989999999999995</v>
      </c>
      <c r="K45" s="479">
        <f t="shared" si="8"/>
        <v>-35.232999999999997</v>
      </c>
      <c r="L45" s="479">
        <f t="shared" si="8"/>
        <v>-13.897000000000002</v>
      </c>
      <c r="M45" s="479">
        <f t="shared" si="8"/>
        <v>-15.453999999999997</v>
      </c>
      <c r="N45" s="479">
        <f t="shared" si="8"/>
        <v>-1288.432</v>
      </c>
      <c r="O45" s="479">
        <f t="shared" si="8"/>
        <v>25.244</v>
      </c>
      <c r="P45" s="479">
        <f t="shared" ref="P45" si="9">SUM(P36:P44)</f>
        <v>-71.928999999999988</v>
      </c>
    </row>
    <row r="46" spans="1:16">
      <c r="A46" s="259"/>
      <c r="B46" s="272" t="s">
        <v>441</v>
      </c>
      <c r="C46" s="279"/>
      <c r="D46" s="279"/>
      <c r="E46" s="279"/>
      <c r="F46" s="279"/>
      <c r="G46" s="279"/>
      <c r="H46" s="277"/>
      <c r="I46" s="279"/>
      <c r="J46" s="279"/>
      <c r="K46" s="279"/>
      <c r="L46" s="279"/>
      <c r="M46" s="279"/>
      <c r="N46" s="279"/>
      <c r="O46" s="279"/>
      <c r="P46" s="280"/>
    </row>
    <row r="47" spans="1:16">
      <c r="A47" s="259"/>
      <c r="B47" s="276" t="s">
        <v>442</v>
      </c>
      <c r="C47" s="277">
        <v>24.478999999999999</v>
      </c>
      <c r="D47" s="277">
        <v>-32.747999999999998</v>
      </c>
      <c r="E47" s="277">
        <v>-358.56599999999997</v>
      </c>
      <c r="F47" s="277">
        <v>0.54</v>
      </c>
      <c r="G47" s="277">
        <v>-1904.2750000000001</v>
      </c>
      <c r="H47" s="277"/>
      <c r="I47" s="277">
        <v>4.258</v>
      </c>
      <c r="J47" s="277">
        <v>1.304</v>
      </c>
      <c r="K47" s="277">
        <v>-1.466</v>
      </c>
      <c r="L47" s="277">
        <v>-1902.3979999999999</v>
      </c>
      <c r="M47" s="277">
        <v>4.2000000000000003E-2</v>
      </c>
      <c r="N47" s="277">
        <v>899.81399999999996</v>
      </c>
      <c r="O47" s="277">
        <v>-901.73299999999995</v>
      </c>
      <c r="P47" s="278">
        <v>-3.714</v>
      </c>
    </row>
    <row r="48" spans="1:16">
      <c r="A48" s="259"/>
      <c r="B48" s="276" t="s">
        <v>443</v>
      </c>
      <c r="C48" s="277">
        <v>0</v>
      </c>
      <c r="D48" s="277">
        <v>0</v>
      </c>
      <c r="E48" s="277">
        <v>-121.193</v>
      </c>
      <c r="F48" s="277">
        <v>-767.54499999999996</v>
      </c>
      <c r="G48" s="277">
        <v>-947.50300000000004</v>
      </c>
      <c r="H48" s="277"/>
      <c r="I48" s="277">
        <v>-737.02599999999995</v>
      </c>
      <c r="J48" s="277">
        <v>0</v>
      </c>
      <c r="K48" s="277">
        <v>-8.484</v>
      </c>
      <c r="L48" s="277">
        <v>-11.018000000000001</v>
      </c>
      <c r="M48" s="277">
        <v>0</v>
      </c>
      <c r="N48" s="277">
        <v>-16.696000000000002</v>
      </c>
      <c r="O48" s="277">
        <v>-919.78899999999999</v>
      </c>
      <c r="P48" s="278">
        <v>0</v>
      </c>
    </row>
    <row r="49" spans="1:16">
      <c r="A49" s="259"/>
      <c r="B49" s="276" t="s">
        <v>444</v>
      </c>
      <c r="C49" s="277">
        <v>0</v>
      </c>
      <c r="D49" s="277">
        <v>0</v>
      </c>
      <c r="E49" s="277">
        <v>0</v>
      </c>
      <c r="F49" s="277">
        <v>0</v>
      </c>
      <c r="G49" s="277">
        <v>2570.75</v>
      </c>
      <c r="H49" s="277"/>
      <c r="I49" s="277">
        <v>0</v>
      </c>
      <c r="J49" s="277">
        <v>0</v>
      </c>
      <c r="K49" s="277">
        <v>0</v>
      </c>
      <c r="L49" s="277">
        <v>2570.75</v>
      </c>
      <c r="M49" s="277">
        <v>0</v>
      </c>
      <c r="N49" s="277">
        <v>0</v>
      </c>
      <c r="O49" s="277">
        <v>0</v>
      </c>
      <c r="P49" s="278">
        <v>0</v>
      </c>
    </row>
    <row r="50" spans="1:16">
      <c r="A50" s="259"/>
      <c r="B50" s="276" t="s">
        <v>445</v>
      </c>
      <c r="C50" s="277">
        <v>-5.1150000000000002</v>
      </c>
      <c r="D50" s="277">
        <v>-8.4329999999999998</v>
      </c>
      <c r="E50" s="277">
        <v>-312.37099999999998</v>
      </c>
      <c r="F50" s="277">
        <v>0</v>
      </c>
      <c r="G50" s="277">
        <v>1159.307</v>
      </c>
      <c r="H50" s="277"/>
      <c r="I50" s="277">
        <v>0</v>
      </c>
      <c r="J50" s="277">
        <v>0</v>
      </c>
      <c r="K50" s="277">
        <v>0</v>
      </c>
      <c r="L50" s="277">
        <v>-641.30600000000004</v>
      </c>
      <c r="M50" s="277">
        <v>0</v>
      </c>
      <c r="N50" s="277">
        <v>0</v>
      </c>
      <c r="O50" s="277">
        <v>1800.6130000000001</v>
      </c>
      <c r="P50" s="278">
        <v>-45.015000000000001</v>
      </c>
    </row>
    <row r="51" spans="1:16">
      <c r="A51" s="259"/>
      <c r="B51" s="276" t="s">
        <v>401</v>
      </c>
      <c r="C51" s="277">
        <v>-53.759</v>
      </c>
      <c r="D51" s="277">
        <v>-49.363</v>
      </c>
      <c r="E51" s="277">
        <v>-56.517000000000003</v>
      </c>
      <c r="F51" s="277">
        <v>-63.631999999999998</v>
      </c>
      <c r="G51" s="277">
        <v>-58.982999999999997</v>
      </c>
      <c r="H51" s="277"/>
      <c r="I51" s="277">
        <v>-14.414</v>
      </c>
      <c r="J51" s="277">
        <v>-14.765000000000001</v>
      </c>
      <c r="K51" s="277">
        <v>-18.911000000000001</v>
      </c>
      <c r="L51" s="277">
        <v>-9.5839999999999996</v>
      </c>
      <c r="M51" s="277">
        <v>-14.593</v>
      </c>
      <c r="N51" s="277">
        <v>-14.739000000000001</v>
      </c>
      <c r="O51" s="277">
        <v>-20.067</v>
      </c>
      <c r="P51" s="278">
        <v>-13.04</v>
      </c>
    </row>
    <row r="52" spans="1:16">
      <c r="B52" s="276" t="s">
        <v>446</v>
      </c>
      <c r="C52" s="277">
        <v>-229.27</v>
      </c>
      <c r="D52" s="277">
        <v>-259.02800000000002</v>
      </c>
      <c r="E52" s="277">
        <v>-213.333</v>
      </c>
      <c r="F52" s="277">
        <v>-187.29900000000001</v>
      </c>
      <c r="G52" s="277">
        <v>-225.291</v>
      </c>
      <c r="H52" s="277"/>
      <c r="I52" s="277">
        <v>-85.995999999999995</v>
      </c>
      <c r="J52" s="277">
        <v>-4.8789999999999996</v>
      </c>
      <c r="K52" s="277">
        <v>-79.563000000000002</v>
      </c>
      <c r="L52" s="277">
        <v>-30.315999999999999</v>
      </c>
      <c r="M52" s="277">
        <v>-59.808</v>
      </c>
      <c r="N52" s="277">
        <v>-59.887</v>
      </c>
      <c r="O52" s="277">
        <v>-75.28</v>
      </c>
      <c r="P52" s="278">
        <v>-96.885999999999996</v>
      </c>
    </row>
    <row r="53" spans="1:16">
      <c r="A53" s="259"/>
      <c r="B53" s="276" t="s">
        <v>447</v>
      </c>
      <c r="C53" s="277">
        <v>0</v>
      </c>
      <c r="D53" s="277">
        <v>0</v>
      </c>
      <c r="E53" s="277">
        <v>0</v>
      </c>
      <c r="F53" s="277">
        <v>0</v>
      </c>
      <c r="G53" s="277">
        <v>0</v>
      </c>
      <c r="H53" s="277"/>
      <c r="I53" s="277">
        <v>0</v>
      </c>
      <c r="J53" s="277">
        <v>0</v>
      </c>
      <c r="K53" s="277">
        <v>0</v>
      </c>
      <c r="L53" s="277">
        <v>0</v>
      </c>
      <c r="M53" s="277">
        <v>0</v>
      </c>
      <c r="N53" s="277">
        <v>0</v>
      </c>
      <c r="O53" s="277">
        <v>0</v>
      </c>
      <c r="P53" s="278">
        <v>0</v>
      </c>
    </row>
    <row r="54" spans="1:16">
      <c r="A54" s="259"/>
      <c r="B54" s="276" t="s">
        <v>467</v>
      </c>
      <c r="C54" s="277">
        <v>0</v>
      </c>
      <c r="D54" s="277">
        <v>5.5090000000000003</v>
      </c>
      <c r="E54" s="277">
        <v>0</v>
      </c>
      <c r="F54" s="277">
        <v>7.8970000000000002</v>
      </c>
      <c r="G54" s="277">
        <v>1.6990000000000001</v>
      </c>
      <c r="H54" s="277"/>
      <c r="I54" s="277">
        <v>7.8970000000000002</v>
      </c>
      <c r="J54" s="277">
        <v>-1E-3</v>
      </c>
      <c r="K54" s="277">
        <v>1E-3</v>
      </c>
      <c r="L54" s="277">
        <v>0</v>
      </c>
      <c r="M54" s="277">
        <v>1.6990000000000001</v>
      </c>
      <c r="N54" s="277">
        <v>0</v>
      </c>
      <c r="O54" s="277">
        <v>0</v>
      </c>
      <c r="P54" s="278">
        <v>0</v>
      </c>
    </row>
    <row r="55" spans="1:16">
      <c r="B55" s="286" t="s">
        <v>448</v>
      </c>
      <c r="C55" s="277">
        <v>-156.14099999999999</v>
      </c>
      <c r="D55" s="277">
        <v>-166.34800000000001</v>
      </c>
      <c r="E55" s="277">
        <v>-383.666</v>
      </c>
      <c r="F55" s="277">
        <v>-441.01600000000002</v>
      </c>
      <c r="G55" s="277">
        <v>-625.30799999999999</v>
      </c>
      <c r="H55" s="279"/>
      <c r="I55" s="277">
        <v>-440.58100000000002</v>
      </c>
      <c r="J55" s="277">
        <v>-0.436</v>
      </c>
      <c r="K55" s="277">
        <v>1E-3</v>
      </c>
      <c r="L55" s="277">
        <v>0</v>
      </c>
      <c r="M55" s="277">
        <v>-440.58100000000002</v>
      </c>
      <c r="N55" s="277">
        <v>0</v>
      </c>
      <c r="O55" s="277">
        <v>-184.727</v>
      </c>
      <c r="P55" s="278">
        <v>0</v>
      </c>
    </row>
    <row r="56" spans="1:16" ht="14.5" thickBot="1">
      <c r="B56" s="276" t="s">
        <v>486</v>
      </c>
      <c r="C56" s="277">
        <v>-35.627000000000002</v>
      </c>
      <c r="D56" s="277">
        <v>-48.625</v>
      </c>
      <c r="E56" s="277">
        <v>-48.966000000000001</v>
      </c>
      <c r="F56" s="277">
        <v>-47.832000000000001</v>
      </c>
      <c r="G56" s="277">
        <v>-47.643000000000001</v>
      </c>
      <c r="H56" s="279"/>
      <c r="I56" s="277">
        <v>-1.468</v>
      </c>
      <c r="J56" s="277">
        <v>-19.998000000000001</v>
      </c>
      <c r="K56" s="277">
        <v>-0.627</v>
      </c>
      <c r="L56" s="277">
        <v>-24</v>
      </c>
      <c r="M56" s="277">
        <v>-3.0720000000000001</v>
      </c>
      <c r="N56" s="277">
        <v>-19.875</v>
      </c>
      <c r="O56" s="277">
        <v>-0.69599999999999995</v>
      </c>
      <c r="P56" s="278">
        <v>-20</v>
      </c>
    </row>
    <row r="57" spans="1:16" ht="14.5" thickBot="1">
      <c r="B57" s="293" t="s">
        <v>449</v>
      </c>
      <c r="C57" s="479">
        <f>SUM(C47:C56)</f>
        <v>-455.43300000000005</v>
      </c>
      <c r="D57" s="479">
        <f t="shared" ref="D57:G57" si="10">SUM(D47:D56)</f>
        <v>-559.03600000000006</v>
      </c>
      <c r="E57" s="479">
        <f t="shared" si="10"/>
        <v>-1494.6119999999999</v>
      </c>
      <c r="F57" s="479">
        <f t="shared" si="10"/>
        <v>-1498.8869999999999</v>
      </c>
      <c r="G57" s="479">
        <f t="shared" si="10"/>
        <v>-77.247000000000156</v>
      </c>
      <c r="H57" s="476"/>
      <c r="I57" s="479">
        <f t="shared" ref="I57:O57" si="11">SUM(I47:I56)</f>
        <v>-1267.33</v>
      </c>
      <c r="J57" s="479">
        <f t="shared" si="11"/>
        <v>-38.775000000000006</v>
      </c>
      <c r="K57" s="479">
        <f t="shared" si="11"/>
        <v>-109.04899999999999</v>
      </c>
      <c r="L57" s="479">
        <f t="shared" si="11"/>
        <v>-47.871999999999979</v>
      </c>
      <c r="M57" s="479">
        <f t="shared" si="11"/>
        <v>-516.31299999999999</v>
      </c>
      <c r="N57" s="479">
        <f t="shared" si="11"/>
        <v>788.61699999999996</v>
      </c>
      <c r="O57" s="479">
        <f t="shared" si="11"/>
        <v>-301.67899999999992</v>
      </c>
      <c r="P57" s="479">
        <f t="shared" ref="P57" si="12">SUM(P47:P56)</f>
        <v>-178.655</v>
      </c>
    </row>
    <row r="58" spans="1:16">
      <c r="B58" s="272"/>
      <c r="C58" s="279"/>
      <c r="D58" s="279"/>
      <c r="E58" s="279"/>
      <c r="F58" s="279"/>
      <c r="G58" s="279"/>
      <c r="H58" s="279"/>
      <c r="I58" s="279"/>
      <c r="J58" s="279"/>
      <c r="K58" s="279"/>
      <c r="L58" s="279"/>
      <c r="M58" s="279"/>
      <c r="N58" s="279"/>
      <c r="O58" s="279"/>
      <c r="P58" s="280"/>
    </row>
    <row r="59" spans="1:16">
      <c r="B59" s="272" t="s">
        <v>450</v>
      </c>
      <c r="C59" s="476">
        <f>SUM(C34,C45,C57)</f>
        <v>-115.6209999999997</v>
      </c>
      <c r="D59" s="476">
        <f t="shared" ref="D59:G59" si="13">SUM(D34,D45,D57)</f>
        <v>576.02799999999979</v>
      </c>
      <c r="E59" s="476">
        <f t="shared" si="13"/>
        <v>-263.49699999999962</v>
      </c>
      <c r="F59" s="476">
        <f t="shared" si="13"/>
        <v>-487.02800000000002</v>
      </c>
      <c r="G59" s="476">
        <f t="shared" si="13"/>
        <v>-367.7860000000004</v>
      </c>
      <c r="H59" s="476"/>
      <c r="I59" s="476">
        <f t="shared" ref="I59:O59" si="14">SUM(I34,I45,I57)</f>
        <v>-1055.135</v>
      </c>
      <c r="J59" s="476">
        <f t="shared" si="14"/>
        <v>170.047</v>
      </c>
      <c r="K59" s="476">
        <f t="shared" si="14"/>
        <v>274.94600000000014</v>
      </c>
      <c r="L59" s="476">
        <f t="shared" si="14"/>
        <v>145.54399999999998</v>
      </c>
      <c r="M59" s="476">
        <f t="shared" si="14"/>
        <v>-287.60799999999995</v>
      </c>
      <c r="N59" s="476">
        <f t="shared" si="14"/>
        <v>-215.07100000000014</v>
      </c>
      <c r="O59" s="476">
        <f t="shared" si="14"/>
        <v>-10.650999999999897</v>
      </c>
      <c r="P59" s="478">
        <f t="shared" ref="P59" si="15">SUM(P34,P45,P57)</f>
        <v>101.48999999999998</v>
      </c>
    </row>
    <row r="60" spans="1:16" ht="14.5" thickBot="1">
      <c r="B60" s="276" t="s">
        <v>451</v>
      </c>
      <c r="C60" s="277">
        <v>1312.894</v>
      </c>
      <c r="D60" s="277">
        <v>1197.2729999999999</v>
      </c>
      <c r="E60" s="277">
        <v>1773.3009999999999</v>
      </c>
      <c r="F60" s="277">
        <v>1509.8040000000001</v>
      </c>
      <c r="G60" s="277">
        <v>1022.776</v>
      </c>
      <c r="H60" s="279"/>
      <c r="I60" s="277">
        <v>1632.9179999999999</v>
      </c>
      <c r="J60" s="277">
        <v>577.78300000000002</v>
      </c>
      <c r="K60" s="277">
        <v>747.83</v>
      </c>
      <c r="L60" s="277">
        <v>1022.776</v>
      </c>
      <c r="M60" s="277">
        <v>1168.32</v>
      </c>
      <c r="N60" s="277">
        <v>880.71199999999999</v>
      </c>
      <c r="O60" s="277">
        <v>665.64099999999996</v>
      </c>
      <c r="P60" s="278">
        <v>654.99</v>
      </c>
    </row>
    <row r="61" spans="1:16" ht="14.5" thickBot="1">
      <c r="B61" s="293" t="s">
        <v>452</v>
      </c>
      <c r="C61" s="288">
        <v>1197.2729999999999</v>
      </c>
      <c r="D61" s="288">
        <v>1773.3009999999999</v>
      </c>
      <c r="E61" s="288">
        <v>1509.8040000000001</v>
      </c>
      <c r="F61" s="288">
        <v>1022.776</v>
      </c>
      <c r="G61" s="288">
        <v>654.99</v>
      </c>
      <c r="H61" s="279"/>
      <c r="I61" s="288">
        <v>577.78300000000002</v>
      </c>
      <c r="J61" s="288">
        <v>747.83</v>
      </c>
      <c r="K61" s="288">
        <v>1022.776</v>
      </c>
      <c r="L61" s="288">
        <v>1168.32</v>
      </c>
      <c r="M61" s="288">
        <v>880.71199999999999</v>
      </c>
      <c r="N61" s="288">
        <v>665.64099999999996</v>
      </c>
      <c r="O61" s="288">
        <v>654.99</v>
      </c>
      <c r="P61" s="294">
        <v>756.48</v>
      </c>
    </row>
    <row r="62" spans="1:16">
      <c r="B62" s="296" t="s">
        <v>406</v>
      </c>
      <c r="C62" s="297" t="str">
        <f>IF(ROUND(SUM(C59:C60),1)-ROUND(C61,1)=0,"-","Error")</f>
        <v>-</v>
      </c>
      <c r="D62" s="297" t="str">
        <f t="shared" ref="D62:G62" si="16">IF(ROUND(SUM(D59:D60),1)-ROUND(D61,1)=0,"-","Error")</f>
        <v>-</v>
      </c>
      <c r="E62" s="297" t="str">
        <f t="shared" si="16"/>
        <v>-</v>
      </c>
      <c r="F62" s="297" t="str">
        <f t="shared" si="16"/>
        <v>-</v>
      </c>
      <c r="G62" s="297" t="str">
        <f t="shared" si="16"/>
        <v>-</v>
      </c>
      <c r="H62" s="279"/>
      <c r="I62" s="297" t="str">
        <f t="shared" ref="I62:O62" si="17">IF(ROUND(SUM(I59:I60),1)-ROUND(I61,1)=0,"-","Error")</f>
        <v>-</v>
      </c>
      <c r="J62" s="297" t="str">
        <f t="shared" si="17"/>
        <v>-</v>
      </c>
      <c r="K62" s="297" t="str">
        <f t="shared" si="17"/>
        <v>-</v>
      </c>
      <c r="L62" s="297" t="str">
        <f t="shared" si="17"/>
        <v>-</v>
      </c>
      <c r="M62" s="297" t="str">
        <f t="shared" si="17"/>
        <v>-</v>
      </c>
      <c r="N62" s="297" t="str">
        <f t="shared" si="17"/>
        <v>-</v>
      </c>
      <c r="O62" s="297" t="str">
        <f t="shared" si="17"/>
        <v>-</v>
      </c>
      <c r="P62" s="299" t="str">
        <f t="shared" ref="P62" si="18">IF(ROUND(SUM(P59:P60),1)-ROUND(P61,1)=0,"-","Error")</f>
        <v>-</v>
      </c>
    </row>
    <row r="63" spans="1:16">
      <c r="B63" s="296"/>
      <c r="C63" s="297"/>
      <c r="D63" s="297"/>
      <c r="E63" s="297"/>
      <c r="F63" s="297"/>
      <c r="G63" s="297"/>
      <c r="H63" s="279"/>
      <c r="I63" s="297"/>
      <c r="J63" s="297"/>
      <c r="K63" s="297"/>
      <c r="L63" s="297"/>
      <c r="M63" s="297"/>
      <c r="N63" s="297"/>
      <c r="O63" s="297"/>
      <c r="P63" s="299"/>
    </row>
    <row r="64" spans="1:16" ht="15">
      <c r="B64" s="465" t="s">
        <v>371</v>
      </c>
      <c r="C64" s="297"/>
      <c r="D64" s="297"/>
      <c r="E64" s="297"/>
      <c r="F64" s="297"/>
      <c r="G64" s="297"/>
      <c r="H64" s="298"/>
      <c r="I64" s="297"/>
      <c r="J64" s="297"/>
      <c r="K64" s="297"/>
      <c r="L64" s="297"/>
      <c r="M64" s="297"/>
      <c r="N64" s="297"/>
      <c r="O64" s="297"/>
      <c r="P64" s="299"/>
    </row>
    <row r="65" spans="1:16" ht="15.5">
      <c r="A65" s="259"/>
      <c r="B65" s="295" t="s">
        <v>505</v>
      </c>
      <c r="C65" s="279">
        <v>336.81400000000002</v>
      </c>
      <c r="D65" s="279">
        <v>1116.057</v>
      </c>
      <c r="E65" s="279">
        <v>1185.8140000000001</v>
      </c>
      <c r="F65" s="279">
        <v>970.98599999999999</v>
      </c>
      <c r="G65" s="279">
        <v>-328.18299999999999</v>
      </c>
      <c r="H65" s="279"/>
      <c r="I65" s="279">
        <v>208.58600000000001</v>
      </c>
      <c r="J65" s="279">
        <v>199.512</v>
      </c>
      <c r="K65" s="279">
        <v>375.78199999999998</v>
      </c>
      <c r="L65" s="279">
        <v>182.12200000000001</v>
      </c>
      <c r="M65" s="279">
        <v>215.53200000000001</v>
      </c>
      <c r="N65" s="279">
        <v>-1008.356</v>
      </c>
      <c r="O65" s="279">
        <v>282.51900000000001</v>
      </c>
      <c r="P65" s="280">
        <v>270.94400000000002</v>
      </c>
    </row>
    <row r="66" spans="1:16">
      <c r="B66" s="276"/>
      <c r="C66" s="262"/>
      <c r="D66" s="262"/>
      <c r="E66" s="262"/>
      <c r="F66" s="262"/>
      <c r="G66" s="262"/>
      <c r="H66" s="262"/>
      <c r="I66" s="262"/>
      <c r="J66" s="262"/>
      <c r="K66" s="262"/>
      <c r="L66" s="262"/>
      <c r="M66" s="262"/>
      <c r="N66" s="262"/>
      <c r="O66" s="262"/>
      <c r="P66" s="285"/>
    </row>
    <row r="67" spans="1:16">
      <c r="B67" s="276" t="s">
        <v>495</v>
      </c>
      <c r="C67" s="262"/>
      <c r="D67" s="262"/>
      <c r="E67" s="262"/>
      <c r="F67" s="262"/>
      <c r="G67" s="262"/>
      <c r="H67" s="262"/>
      <c r="I67" s="262"/>
      <c r="J67" s="262"/>
      <c r="K67" s="262"/>
      <c r="L67" s="262"/>
      <c r="M67" s="262"/>
      <c r="N67" s="262"/>
      <c r="O67" s="262"/>
      <c r="P67" s="285"/>
    </row>
    <row r="68" spans="1:16">
      <c r="B68" s="345" t="s">
        <v>506</v>
      </c>
      <c r="C68" s="302"/>
      <c r="D68" s="302"/>
      <c r="E68" s="302"/>
      <c r="F68" s="302"/>
      <c r="G68" s="302"/>
      <c r="H68" s="302"/>
      <c r="I68" s="302"/>
      <c r="J68" s="302"/>
      <c r="K68" s="302"/>
      <c r="L68" s="302"/>
      <c r="M68" s="302"/>
      <c r="N68" s="302"/>
      <c r="O68" s="302"/>
      <c r="P68" s="303"/>
    </row>
    <row r="69" spans="1:16" ht="3" customHeight="1"/>
    <row r="70" spans="1:16"/>
  </sheetData>
  <sheetProtection algorithmName="SHA-512" hashValue="bHAomag+34vZoSj4Y1e+REo+G4xEbZJuY5FiNsF1YTGAuTjHLjjIj156X12ije7nr+kY8OEEtfCqYl3kHoFMvg==" saltValue="NF71HbGCtUkIwtalQNZSfA=="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877A6CDC282E45916DC89490475063" ma:contentTypeVersion="16" ma:contentTypeDescription="Create a new document." ma:contentTypeScope="" ma:versionID="779405014ab0acc0a850b5dfbb9a25e7">
  <xsd:schema xmlns:xsd="http://www.w3.org/2001/XMLSchema" xmlns:xs="http://www.w3.org/2001/XMLSchema" xmlns:p="http://schemas.microsoft.com/office/2006/metadata/properties" xmlns:ns2="838afb97-f7f9-44f5-9ee6-9dcf1d7ae8ae" xmlns:ns3="f878f3b1-6b55-4f0d-af1a-d5c801308da0" targetNamespace="http://schemas.microsoft.com/office/2006/metadata/properties" ma:root="true" ma:fieldsID="2b209db82216ece36ca5eea735cafd49" ns2:_="" ns3:_="">
    <xsd:import namespace="838afb97-f7f9-44f5-9ee6-9dcf1d7ae8ae"/>
    <xsd:import namespace="f878f3b1-6b55-4f0d-af1a-d5c801308d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afb97-f7f9-44f5-9ee6-9dcf1d7ae8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881f6ef2-43c1-4cdd-aba4-16a7d83d94dc}" ma:internalName="TaxCatchAll" ma:showField="CatchAllData" ma:web="838afb97-f7f9-44f5-9ee6-9dcf1d7ae8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78f3b1-6b55-4f0d-af1a-d5c801308da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1da7c8-5be0-46f4-8f6f-799b444c9c4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78f3b1-6b55-4f0d-af1a-d5c801308da0">
      <Terms xmlns="http://schemas.microsoft.com/office/infopath/2007/PartnerControls"/>
    </lcf76f155ced4ddcb4097134ff3c332f>
    <TaxCatchAll xmlns="838afb97-f7f9-44f5-9ee6-9dcf1d7ae8ae" xsi:nil="true"/>
  </documentManagement>
</p:properties>
</file>

<file path=customXml/itemProps1.xml><?xml version="1.0" encoding="utf-8"?>
<ds:datastoreItem xmlns:ds="http://schemas.openxmlformats.org/officeDocument/2006/customXml" ds:itemID="{58E36410-6CC4-40B2-AEDC-C99F03AD0C76}">
  <ds:schemaRefs>
    <ds:schemaRef ds:uri="http://schemas.microsoft.com/sharepoint/v3/contenttype/forms"/>
  </ds:schemaRefs>
</ds:datastoreItem>
</file>

<file path=customXml/itemProps2.xml><?xml version="1.0" encoding="utf-8"?>
<ds:datastoreItem xmlns:ds="http://schemas.openxmlformats.org/officeDocument/2006/customXml" ds:itemID="{A91E5225-17F7-4E4D-B6D6-795DC8D2E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afb97-f7f9-44f5-9ee6-9dcf1d7ae8ae"/>
    <ds:schemaRef ds:uri="f878f3b1-6b55-4f0d-af1a-d5c801308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69643A-344F-4B73-963A-9D86D44F925E}">
  <ds:schemaRefs>
    <ds:schemaRef ds:uri="http://schemas.microsoft.com/office/2006/documentManagement/types"/>
    <ds:schemaRef ds:uri="838afb97-f7f9-44f5-9ee6-9dcf1d7ae8ae"/>
    <ds:schemaRef ds:uri="http://schemas.microsoft.com/office/infopath/2007/PartnerControls"/>
    <ds:schemaRef ds:uri="f878f3b1-6b55-4f0d-af1a-d5c801308da0"/>
    <ds:schemaRef ds:uri="http://schemas.openxmlformats.org/package/2006/metadata/core-properties"/>
    <ds:schemaRef ds:uri="http://schemas.microsoft.com/office/2006/metadata/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Disclaimer</vt:lpstr>
      <vt:lpstr>Analyst Guide</vt:lpstr>
      <vt:lpstr>Indicative Model</vt:lpstr>
      <vt:lpstr>Operating Data</vt:lpstr>
      <vt:lpstr>P&amp;L</vt:lpstr>
      <vt:lpstr>Segmental Results</vt:lpstr>
      <vt:lpstr>BS</vt:lpstr>
      <vt:lpstr>CF</vt:lpstr>
      <vt:lpstr>'Analyst Guide'!Print_Area</vt:lpstr>
      <vt:lpstr>Cover!Print_Area</vt:lpstr>
      <vt:lpstr>'Indicative Model'!Print_Area</vt:lpstr>
    </vt:vector>
  </TitlesOfParts>
  <Company>Tabreed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 Tahir Bhatti</dc:creator>
  <cp:lastModifiedBy>Yugesh Suneja</cp:lastModifiedBy>
  <cp:lastPrinted>2023-02-13T14:58:21Z</cp:lastPrinted>
  <dcterms:created xsi:type="dcterms:W3CDTF">2015-05-06T04:59:27Z</dcterms:created>
  <dcterms:modified xsi:type="dcterms:W3CDTF">2026-05-14T11:51:36Z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0x010100F8643A8E7C64F94F82D3E36658957833</vt:lpwstr>
  </property>
  <property fmtid="{D5CDD505-2E9C-101B-9397-08002B2CF9AE}" pid="3" name="MediaServiceImageTags">
    <vt:lpwstr/>
  </property>
  <property fmtid="{D5CDD505-2E9C-101B-9397-08002B2CF9AE}" pid="4" name="GVData">
    <vt:lpwstr>ew0KICAidGFnc2V0X2UxNjQwOWE3XzE3MDBfNDE1M185MDkwXzM5NTViYzJmMGFlOF9jbGFzc2lmaWNhdGlvbiI6ICJJbnRlcm5hbCIsDQogICJkb2NJRCI6ICIzYjY4ODM2My04YTFmLTQ2MzQtOTY1OS05NTU2ODY0MTAzYzgiLA0KICAiT1MiOiAiV2luZG93cyIs</vt:lpwstr>
  </property>
  <property fmtid="{D5CDD505-2E9C-101B-9397-08002B2CF9AE}" pid="5" name="GVData0">
    <vt:lpwstr>DQogICJPcHRpb25zIjogIntcdTAwMjJQYWdlTGF5b3V0Q29uZmlndXJhdGlvblx1MDAyMjp7XHUwMDIyQWx3YXlzU2hvd1BvcHVwXHUwMDIyOmZhbHNlLFx1MDAyMkhhc0Fsd2F5c1Nob3dQb3B1cFx1MDAyMjp0cnVlLFx1MDAyMk9wdGlvbnNcdTAwMjI6MCxcdTAw</vt:lpwstr>
  </property>
  <property fmtid="{D5CDD505-2E9C-101B-9397-08002B2CF9AE}" pid="6" name="{A44787D4-0540-4523-9961-78E4036D8C6D}">
    <vt:lpwstr>{A10A720B-930F-412A-B45A-9384D6959E3E}</vt:lpwstr>
  </property>
  <property fmtid="{D5CDD505-2E9C-101B-9397-08002B2CF9AE}" pid="7" name="3rdPartyFooter">
    <vt:lpwstr/>
  </property>
  <property fmtid="{D5CDD505-2E9C-101B-9397-08002B2CF9AE}" pid="8" name="Footer">
    <vt:lpwstr>{"Left":"","Center":"Classification: Internal","Right":""}</vt:lpwstr>
  </property>
  <property fmtid="{D5CDD505-2E9C-101B-9397-08002B2CF9AE}" pid="9" name="GVData1">
    <vt:lpwstr>MjJUcmlnZ2VyUGFnZXNOdW1iZXJcdTAwMjI6MH0sXHUwMDIyQXBwbHlGcm9tUGFnZVx1MDAyMjowLFx1MDAyMkFwcGx5VG9QYWdlXHUwMDIyOjAsXHUwMDIySGVhZGVyRW5hYmxlZFx1MDAyMjpmYWxzZSxcdTAwMjJIZWFkZXJcdTAwMjI6XHUwMDIyXHUwMDIyLFx1</vt:lpwstr>
  </property>
  <property fmtid="{D5CDD505-2E9C-101B-9397-08002B2CF9AE}" pid="10" name="ClassificationTagSetId">
    <vt:lpwstr>e16409a7-1700-4153-9090-3955bc2f0ae8</vt:lpwstr>
  </property>
  <property fmtid="{D5CDD505-2E9C-101B-9397-08002B2CF9AE}" pid="11" name="Classification">
    <vt:lpwstr>Internal</vt:lpwstr>
  </property>
  <property fmtid="{D5CDD505-2E9C-101B-9397-08002B2CF9AE}" pid="12" name="ComplianceTagSetId">
    <vt:lpwstr>f14fc1f1-8950-40d5-8a29-45909da947d6</vt:lpwstr>
  </property>
  <property fmtid="{D5CDD505-2E9C-101B-9397-08002B2CF9AE}" pid="13" name="FileId">
    <vt:lpwstr>3b688363-8a1f-4634-9659-9556864103c8</vt:lpwstr>
  </property>
  <property fmtid="{D5CDD505-2E9C-101B-9397-08002B2CF9AE}" pid="14" name="UserId">
    <vt:lpwstr>LOCAL SERVICE</vt:lpwstr>
  </property>
  <property fmtid="{D5CDD505-2E9C-101B-9397-08002B2CF9AE}" pid="15" name="TagDateTime">
    <vt:lpwstr>2025-08-13T09:28:00Z</vt:lpwstr>
  </property>
  <property fmtid="{D5CDD505-2E9C-101B-9397-08002B2CF9AE}" pid="16" name="GVData2">
    <vt:lpwstr>MDAyMkhlYWRlcnNcdTAwMjI6W1x1MDAyMlx1MDAyMl0sXHUwMDIySGVhZGVyVHlwZVx1MDAyMjoyLFx1MDAyMkhlYWRlclR5cGVzQWxsb3dlZFx1MDAyMjpbMl0sXHUwMDIySGVhZGVyVXBkYXRlVHlwZVx1MDAyMjowLFx1MDAyMkZvb3RlckVuYWJsZWRcdTAwMjI6</vt:lpwstr>
  </property>
  <property fmtid="{D5CDD505-2E9C-101B-9397-08002B2CF9AE}" pid="17" name="GVData3">
    <vt:lpwstr>dHJ1ZSxcdTAwMjJGb290ZXJcdTAwMjI6XHUwMDIyXHUwMDNDc3BhbiBzdHlsZT1cXFx1MDAyMmNvbG9yOiMwMzAzRkU7XFxcdTAwMjJcdTAwM0VcdTAwM0NzcGFuXHUwMDNFXHUwMDNDZGl2IHN0eWxlPVxcXHUwMDIydGV4dC1hbGlnbjpjZW50ZXJcXFx1MDAyMlx1</vt:lpwstr>
  </property>
  <property fmtid="{D5CDD505-2E9C-101B-9397-08002B2CF9AE}" pid="18" name="GVData4">
    <vt:lpwstr>MDAzRUNsYXNzaWZpY2F0aW9uOiBJbnRlcm5hbFx1MDAzQy9kaXZcdTAwM0VcdTAwM0Mvc3Bhblx1MDAzRVx1MDAzQy9zcGFuXHUwMDNFXHUwMDIyLFx1MDAyMkZvb3RlcnNcdTAwMjI6W1x1MDAyMlx1MDAzQ3NwYW4gc3R5bGU9XFxcdTAwMjJjb2xvcjojMDMwM0ZF</vt:lpwstr>
  </property>
  <property fmtid="{D5CDD505-2E9C-101B-9397-08002B2CF9AE}" pid="19" name="GVData5">
    <vt:lpwstr>O1xcXHUwMDIyXHUwMDNFXHUwMDNDc3Bhblx1MDAzRVx1MDAzQ2RpdiBzdHlsZT1cXFx1MDAyMnRleHQtYWxpZ246Y2VudGVyXFxcdTAwMjJcdTAwM0VDbGFzc2lmaWNhdGlvbjogSW50ZXJuYWxcdTAwM0MvZGl2XHUwMDNFXHUwMDNDL3NwYW5cdTAwM0VcdTAwM0Mv</vt:lpwstr>
  </property>
  <property fmtid="{D5CDD505-2E9C-101B-9397-08002B2CF9AE}" pid="20" name="GVData6">
    <vt:lpwstr>c3Bhblx1MDAzRVx1MDAyMl0sXHUwMDIyRm9vdGVyVHlwZVx1MDAyMjowLFx1MDAyMkZvb3RlclR5cGVzQWxsb3dlZFx1MDAyMjpbMCwxXSxcdTAwMjJGb290ZXJVcGRhdGVUeXBlXHUwMDIyOjEsXHUwMDIyV2F0ZXJtYXJrXHUwMDIyOm51bGwsXHUwMDIyV2F0ZXJt</vt:lpwstr>
  </property>
  <property fmtid="{D5CDD505-2E9C-101B-9397-08002B2CF9AE}" pid="21" name="GVData7">
    <vt:lpwstr>YXJrRW5hYmxlZFx1MDAyMjpmYWxzZSxcdTAwMjJTaG91bGRXcml0ZVdhdGVybWFya1x1MDAyMjpmYWxzZSxcdTAwMjJXYXRlcm1hcmtVcGRhdGVUeXBlXHUwMDIyOjAsXHUwMDIyUG93ZXJwb2ludFRpdGxlXHUwMDIyOm51bGwsXHUwMDIyUG93ZXJwb2ludFN1Yml0</vt:lpwstr>
  </property>
  <property fmtid="{D5CDD505-2E9C-101B-9397-08002B2CF9AE}" pid="22" name="GVData8">
    <vt:lpwstr>bGVcdTAwMjI6bnVsbH0iLA0KICAiU3RhdGUiOiAie1x1MDAyMkZpcnN0UGFnZURpZmZlcmVudFx1MDAyMjpmYWxzZSxcdTAwMjJEaWZmZXJlbnRPZGRBbmRFdmVuUGFnZXNcdTAwMjI6ZmFsc2UsXHUwMDIyUGFnZUNvdW50XHUwMDIyOjEwLFx1MDAyMkhlYWRlck1l</vt:lpwstr>
  </property>
  <property fmtid="{D5CDD505-2E9C-101B-9397-08002B2CF9AE}" pid="23" name="GVData9">
    <vt:lpwstr>dGFkYXRhXHUwMDIyOlx1MDAyMlx1MDAyMixcdTAwMjJUaGlyZFBhcnR5SGVhZGVyTWV0YWRhdGFcdTAwMjI6XHUwMDIyXHUwMDIyLFx1MDAyMkdWSGVhZGVyRXhpc3RzXHUwMDIyOmZhbHNlLFx1MDAyMk5vbkdWSGVhZGVyRXhpc3RzXHUwMDIyOmZhbHNlLFx1MDAy</vt:lpwstr>
  </property>
  <property fmtid="{D5CDD505-2E9C-101B-9397-08002B2CF9AE}" pid="24" name="GVData10">
    <vt:lpwstr>MkNvcm5lckhlYWRlckV4aXN0c1x1MDAyMjpmYWxzZSxcdTAwMjJOb25HVkhlYWRlclNoYXBlRXhpc3RzXHUwMDIyOmZhbHNlLFx1MDAyMlRoaXJkUGFydHlIZWFkZXJzXHUwMDIyOltdLFx1MDAyMkZvb3Rlck1ldGFkYXRhXHUwMDIyOlx1MDAyMntcXFx1MDAyMkxl</vt:lpwstr>
  </property>
  <property fmtid="{D5CDD505-2E9C-101B-9397-08002B2CF9AE}" pid="25" name="GVData11">
    <vt:lpwstr>ZnRcXFx1MDAyMjpcXFx1MDAyMlxcXHUwMDIyLFxcXHUwMDIyQ2VudGVyXFxcdTAwMjI6XFxcdTAwMjJDbGFzc2lmaWNhdGlvbjogSW50ZXJuYWxcXFx1MDAyMixcXFx1MDAyMlJpZ2h0XFxcdTAwMjI6XFxcdTAwMjJcXFx1MDAyMn1cdTAwMjIsXHUwMDIyVGhpcmRQ</vt:lpwstr>
  </property>
  <property fmtid="{D5CDD505-2E9C-101B-9397-08002B2CF9AE}" pid="26" name="GVData12">
    <vt:lpwstr>YXJ0eUZvb3Rlck1ldGFkYXRhXHUwMDIyOlx1MDAyMlx1MDAyMixcdTAwMjJHVkZvb3RlckV4aXN0c1x1MDAyMjp0cnVlLFx1MDAyMk5vbkdWRm9vdGVyRXhpc3RzXHUwMDIyOmZhbHNlLFx1MDAyMkNvcm5lckZvb3RlckV4aXN0c1x1MDAyMjpmYWxzZSxcdTAwMjJO</vt:lpwstr>
  </property>
  <property fmtid="{D5CDD505-2E9C-101B-9397-08002B2CF9AE}" pid="27" name="GVData13">
    <vt:lpwstr>b25HVkZvb3RlclNoYXBlRXhpc3RzXHUwMDIyOmZhbHNlLFx1MDAyMlRoaXJkUGFydHlGb290ZXJzXHUwMDIyOltdLFx1MDAyMldhdGVybWFya01ldGFkYXRhXHUwMDIyOlx1MDAyMlx1MDAyMixcdTAwMjJXYXRlcm1hcmtFeGlzdHNcdTAwMjI6ZmFsc2UsXHUwMDIy</vt:lpwstr>
  </property>
  <property fmtid="{D5CDD505-2E9C-101B-9397-08002B2CF9AE}" pid="28" name="GVData14">
    <vt:lpwstr>UG93ZXJwb2ludFRpdGxlTWV0YWRhdGFcdTAwMjI6bnVsbCxcdTAwMjJQb3dlcnBvaW50U3VidGl0bGVNZXRhZGF0YVx1MDAyMjpudWxsLFx1MDAyMlRoaXJkUGFydHlNZXRhZGF0YUZvdW5kXHUwMDIyOmZhbHNlfSINCn0=</vt:lpwstr>
  </property>
  <property fmtid="{D5CDD505-2E9C-101B-9397-08002B2CF9AE}" pid="29" name="GVData15">
    <vt:lpwstr>(end)</vt:lpwstr>
  </property>
</Properties>
</file>